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2" activeTab="0"/>
  </bookViews>
  <sheets>
    <sheet name="дод 4" sheetId="1" r:id="rId1"/>
  </sheets>
  <definedNames>
    <definedName name="_xlnm.Print_Titles" localSheetId="0">'дод 4'!$A:$B,'дод 4'!$8:$14</definedName>
    <definedName name="_xlnm.Print_Area" localSheetId="0">'дод 4'!$A$1:$BL$77</definedName>
  </definedNames>
  <calcPr fullCalcOnLoad="1"/>
</workbook>
</file>

<file path=xl/sharedStrings.xml><?xml version="1.0" encoding="utf-8"?>
<sst xmlns="http://schemas.openxmlformats.org/spreadsheetml/2006/main" count="257" uniqueCount="205">
  <si>
    <t>Додаток  4</t>
  </si>
  <si>
    <t>грн</t>
  </si>
  <si>
    <t>Код бюджету</t>
  </si>
  <si>
    <t>Обсяги міжбюджетних трансфертів, що передаються з обласного бюджету до державного бюджету</t>
  </si>
  <si>
    <t>Разом</t>
  </si>
  <si>
    <t>загальний фонд</t>
  </si>
  <si>
    <t>спеціальний фонд</t>
  </si>
  <si>
    <t>субвенції на здійснення програм соціального захисту:</t>
  </si>
  <si>
    <t>на виконання програм соціально-економічного та культурного розвитку регіонів</t>
  </si>
  <si>
    <t>інші субвенції</t>
  </si>
  <si>
    <t>КТКВ 250301</t>
  </si>
  <si>
    <t>КТКВ 250326</t>
  </si>
  <si>
    <t>КТКВ 250328</t>
  </si>
  <si>
    <t>КТКВ 250330</t>
  </si>
  <si>
    <t>КТКВ 250376</t>
  </si>
  <si>
    <t>КТКВ 250344</t>
  </si>
  <si>
    <t>КТКВ 250315</t>
  </si>
  <si>
    <t>КТКВ 250380</t>
  </si>
  <si>
    <t>Реверсна дотація</t>
  </si>
  <si>
    <t xml:space="preserve">на надання пільг та житлових субсидій населенню на придбання твердого та рідкого пічного побутового палива і скрапленого газу </t>
  </si>
  <si>
    <t>на природоохоронні заходи</t>
  </si>
  <si>
    <t>на охорону і раціональне використання земель</t>
  </si>
  <si>
    <t>інші додаткові дотації</t>
  </si>
  <si>
    <t>на створення навчально-виховних комплексів</t>
  </si>
  <si>
    <t>на капітальні видатки та облаштування об’єктів соціально-культурної сфери</t>
  </si>
  <si>
    <t>04100000000</t>
  </si>
  <si>
    <t>Обласний бюджет</t>
  </si>
  <si>
    <t>Державний бюджет</t>
  </si>
  <si>
    <r>
      <t>на виплату допомоги сім’ям з дітьми, малозабезпеченим сім’ям, інвалідам з дитинства, дітям-інвалідам, тимчасової державної допомоги дітям та допомоги по догляду за інвалідами I чи II</t>
    </r>
    <r>
      <rPr>
        <sz val="44"/>
        <rFont val="Calibri"/>
        <family val="2"/>
      </rPr>
      <t> </t>
    </r>
    <r>
      <rPr>
        <sz val="44"/>
        <rFont val="Times New Roman"/>
        <family val="1"/>
      </rPr>
      <t>групи внаслідок психічного розладу</t>
    </r>
  </si>
  <si>
    <t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</si>
  <si>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04511000000</t>
  </si>
  <si>
    <t>04514000000</t>
  </si>
  <si>
    <t>04202100000</t>
  </si>
  <si>
    <t>04201100000</t>
  </si>
  <si>
    <t>04203100000</t>
  </si>
  <si>
    <t>04204100000</t>
  </si>
  <si>
    <t>04205100000</t>
  </si>
  <si>
    <t>04206100000</t>
  </si>
  <si>
    <t>04207100000</t>
  </si>
  <si>
    <t>04208100000</t>
  </si>
  <si>
    <t>04209100000</t>
  </si>
  <si>
    <t>04210100000</t>
  </si>
  <si>
    <t>04211100000</t>
  </si>
  <si>
    <t>04212100000</t>
  </si>
  <si>
    <t>04213100000</t>
  </si>
  <si>
    <t>04301200000</t>
  </si>
  <si>
    <t>04302200000</t>
  </si>
  <si>
    <t>04303200000</t>
  </si>
  <si>
    <t>04304200000</t>
  </si>
  <si>
    <t>04305200000</t>
  </si>
  <si>
    <t>04306200000</t>
  </si>
  <si>
    <t>04307200000</t>
  </si>
  <si>
    <t>04308200000</t>
  </si>
  <si>
    <t>04309200000</t>
  </si>
  <si>
    <t>04310200000</t>
  </si>
  <si>
    <t>04311200000</t>
  </si>
  <si>
    <t>04312200000</t>
  </si>
  <si>
    <t>04313200000</t>
  </si>
  <si>
    <t>04314200000</t>
  </si>
  <si>
    <t>04315200000</t>
  </si>
  <si>
    <t>04316200000</t>
  </si>
  <si>
    <t>04317200000</t>
  </si>
  <si>
    <t>04318200000</t>
  </si>
  <si>
    <t>04319200000</t>
  </si>
  <si>
    <t>04320200000</t>
  </si>
  <si>
    <t>04321200000</t>
  </si>
  <si>
    <t>04322200000</t>
  </si>
  <si>
    <t>04502000000</t>
  </si>
  <si>
    <t>Обсяги міжбюджетних трансфертів, що передаються з обласного бюджету до місцевих бюджетів</t>
  </si>
  <si>
    <t>Назва адміністративно-територіальних одиниць</t>
  </si>
  <si>
    <t>Апостолівський р-н</t>
  </si>
  <si>
    <t xml:space="preserve">Разом </t>
  </si>
  <si>
    <t>м. Вільногірськ</t>
  </si>
  <si>
    <t>м. Жовті Води</t>
  </si>
  <si>
    <t>м. Кривий Ріг</t>
  </si>
  <si>
    <t>м. Марганець</t>
  </si>
  <si>
    <t>м. Нікополь</t>
  </si>
  <si>
    <t>м. Новомосковськ</t>
  </si>
  <si>
    <t>м. Павлоград</t>
  </si>
  <si>
    <t>м. Першотравенськ</t>
  </si>
  <si>
    <t>м. Синельникове</t>
  </si>
  <si>
    <t>м. Тернівка</t>
  </si>
  <si>
    <t>Васильківський р-н</t>
  </si>
  <si>
    <t>Верхньодніпровський р-н</t>
  </si>
  <si>
    <t>Криворізький р-н</t>
  </si>
  <si>
    <t>Криничанський р-н</t>
  </si>
  <si>
    <t>Магдалинівський р-н</t>
  </si>
  <si>
    <t>Межівський р-н</t>
  </si>
  <si>
    <t>Нікопольський р-н</t>
  </si>
  <si>
    <t>Новомосковський р-н</t>
  </si>
  <si>
    <t>Павлоградський р-н</t>
  </si>
  <si>
    <t>Петриківський р-н</t>
  </si>
  <si>
    <t>Петропавлівський р-н</t>
  </si>
  <si>
    <t>Покровський р-н</t>
  </si>
  <si>
    <t>П’ятихатський р-н</t>
  </si>
  <si>
    <t>Синельниківський р-н</t>
  </si>
  <si>
    <t>Солонянський р-н</t>
  </si>
  <si>
    <t>Софіївський р-н</t>
  </si>
  <si>
    <t>Томаківський р-н</t>
  </si>
  <si>
    <t>Царичанський р-н</t>
  </si>
  <si>
    <t>Широківський р-н</t>
  </si>
  <si>
    <t>Юр’ївський р-н</t>
  </si>
  <si>
    <t xml:space="preserve">Обсяги міжбюджетних трансфертів, що передаються з інших місцевих бюджетів до обласного бюджету </t>
  </si>
  <si>
    <t>субвенція з інших бюджетів на виконання інвестиційних проектів</t>
  </si>
  <si>
    <t>КФКД 41030400</t>
  </si>
  <si>
    <t>на виконання інвестиційних проектів</t>
  </si>
  <si>
    <t>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</si>
  <si>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>Новоолександрівська сільська рада</t>
  </si>
  <si>
    <t xml:space="preserve">Богданівська сільська рада </t>
  </si>
  <si>
    <t xml:space="preserve">Сурсько-Литовська сільська рада </t>
  </si>
  <si>
    <t xml:space="preserve"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 </t>
  </si>
  <si>
    <t>КФКД 41030300</t>
  </si>
  <si>
    <t>Обласний бюджет Кіровоградської області</t>
  </si>
  <si>
    <t xml:space="preserve">Обсяги міжбюджетних трансфертів, що передаються з обласного бюджету до місцевих бюджетів за рахунок коштів  державного бюджету </t>
  </si>
  <si>
    <t>на організацію участі колективу КВНЗ „Дніпродзержинський музичний коледж” ДОР” у міжнародному фестивалі</t>
  </si>
  <si>
    <t>субвенції</t>
  </si>
  <si>
    <t>КТКВ 250388</t>
  </si>
  <si>
    <t>на проведення виборів депутатів місцевих рад та сільських, селищних, міських голів</t>
  </si>
  <si>
    <t>на виготовлення органами ведення Державного реєстру виборців списків виборців та іменних запрошень для підготовки і проведення позачергових та перших виборів</t>
  </si>
  <si>
    <t xml:space="preserve">                                              З НИХ                                               </t>
  </si>
  <si>
    <t>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</si>
  <si>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 xml:space="preserve">на ремонт та утримання вулиць і доріг комунальної власності у населених пунктах </t>
  </si>
  <si>
    <t>на капітальний ремонт покрівель</t>
  </si>
  <si>
    <t>на капітальний ремонт ліфтів</t>
  </si>
  <si>
    <t>на капітальний ремонт доріг</t>
  </si>
  <si>
    <t>на капітальний ремонт мереж освітлення</t>
  </si>
  <si>
    <t>на співфінансування органів місцевого самоврядування області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– ЄС/ПРООН „Місцевий розвиток, орієнтований на громаду, ІІ фаза”</t>
  </si>
  <si>
    <t>на реалізацію заходів програми впровадження державної політики органами виконавчої влади у Дніпропетровській області на 2016 – 2020 роки</t>
  </si>
  <si>
    <t>на виконання доручень виборців депутатами обласної ради у 2016 році</t>
  </si>
  <si>
    <t>КТКВ 250313</t>
  </si>
  <si>
    <t xml:space="preserve">Стабілізаційна дотація </t>
  </si>
  <si>
    <t>КФКД 41035000</t>
  </si>
  <si>
    <t>Об’єднані територіальні громади</t>
  </si>
  <si>
    <t>Усього</t>
  </si>
  <si>
    <t>04515000000</t>
  </si>
  <si>
    <t>Апостолівська міська рада</t>
  </si>
  <si>
    <t>Вербківська сільська рада</t>
  </si>
  <si>
    <t>Зеленодольська міська рада</t>
  </si>
  <si>
    <t>Грушівська сільська рада</t>
  </si>
  <si>
    <t>Ляшківська сільська рада</t>
  </si>
  <si>
    <t>Могилівська сільська рада</t>
  </si>
  <si>
    <t>Нивотрудівська сільська рада</t>
  </si>
  <si>
    <t>Новопокровська селищна рада</t>
  </si>
  <si>
    <t>Солонянська селищна рада</t>
  </si>
  <si>
    <t>04501000000</t>
  </si>
  <si>
    <t>04503000000</t>
  </si>
  <si>
    <t>04504000000</t>
  </si>
  <si>
    <t>04505000000</t>
  </si>
  <si>
    <t>04506000000</t>
  </si>
  <si>
    <t>04507000000</t>
  </si>
  <si>
    <t>04508000000</t>
  </si>
  <si>
    <t>04509000000</t>
  </si>
  <si>
    <t>04510000000</t>
  </si>
  <si>
    <t>04512000000</t>
  </si>
  <si>
    <t>04513000000</t>
  </si>
  <si>
    <t>на видання, придбання, зберігання і доставку підручників і посібників для учнів загальноосвітніх навчальних закладів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</si>
  <si>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</si>
  <si>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КТКВ 250352</t>
  </si>
  <si>
    <t>м. Покров</t>
  </si>
  <si>
    <t>на поповнення бібліотечних фондів шкільних бібліотек</t>
  </si>
  <si>
    <t>на реалізацію заходів Регіональної цільової соціальної програми захисту населення і територій від надзвичайних ситуацій техногенного та природного характеру, забезпечення пожежної безпеки  Дніпропетровської області на 2016 – 2020 роки</t>
  </si>
  <si>
    <t>на фінансування переможців обласного конкурсу мініпроектів з енергоефективності та енергозбереження серед локальних громад у 2016 році</t>
  </si>
  <si>
    <t>на фінансування переможців обласного конкурсу проектів і програм розвитку місцевого самоврядування у 2016 році</t>
  </si>
  <si>
    <t>КТКВ 250362</t>
  </si>
  <si>
    <t>на фінансування заходів соціально-економічної компенсації ризику населення, яке проживає на території зони спостереження</t>
  </si>
  <si>
    <t>КТКВ 250366</t>
  </si>
  <si>
    <t>на здійснення заходів щодо соціально-економічного розвитку окремих територій</t>
  </si>
  <si>
    <t>для забезпечення функціонування та оснащення опорних навчальних закладів</t>
  </si>
  <si>
    <t>на співфінансування об’єктів</t>
  </si>
  <si>
    <t>на оплату послуг з приєднання електричних мереж КЗ „Дніпропетровське клінічне об'єднання швидкої медичної допомоги” Дніпропетровської обласної ради, по проекту Світового банку, до мереж електропостачальної організації</t>
  </si>
  <si>
    <t>Дніпровський р-н</t>
  </si>
  <si>
    <t>Слобожанська селищна рада</t>
  </si>
  <si>
    <t>КФКД 41034200</t>
  </si>
  <si>
    <t>Медична субвенція з державного бюджету місцевим бюджетам</t>
  </si>
  <si>
    <t>Обласний бюджет Донецької області</t>
  </si>
  <si>
    <t>Інші додаткові дотації</t>
  </si>
  <si>
    <t>КФКД 41020900</t>
  </si>
  <si>
    <t>на ремонт мереж внутрішнього електроживлення багатоповерхових житлових будинків</t>
  </si>
  <si>
    <t>на капітальний ремонт дорожнього покриття по проспекту Леніна в місті Дніпродзержинську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</si>
  <si>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</si>
  <si>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Обсяги міжбюджетних трансфертів, що передаються з інших місцевих бюджетів до обласного бюджету за рахунок коштів державного бюджету</t>
  </si>
  <si>
    <t>Перший заступник голови обласної ради</t>
  </si>
  <si>
    <t>С.ОЛІЙНИК</t>
  </si>
  <si>
    <t>КТКВ 250384</t>
  </si>
  <si>
    <t xml:space="preserve">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I-II групи з числа військовослужбовців , які брали участь у зазначеній операції, та потребують поліпшення житлових умов </t>
  </si>
  <si>
    <t>на придбання вакцин для імунізації тварин проти сказу для Тернівської міської лікарні ветеринарної медицини</t>
  </si>
  <si>
    <t>Святовасилівська сільська рада</t>
  </si>
  <si>
    <t>Вакулівська сільська рада</t>
  </si>
  <si>
    <t>на реалізацію заходів регіональної Програми забезпечення громадського порядку та громадської безпеки на території  Дніпропетровської області на період до 2020 року</t>
  </si>
  <si>
    <t>до рішення обласної ради</t>
  </si>
  <si>
    <t>м. Дніпропетровськ</t>
  </si>
  <si>
    <t>Зміни до  показників міжбюджетних трансфертів між обласним бюджетом та іншими бюджетами на 2016 рік</t>
  </si>
  <si>
    <t>м. Кам’янське</t>
  </si>
  <si>
    <t>на співфінансування органів місцевого самоврядування області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– Швейцарсько-Український проект „Підтримка децентралізації в Україні” DESPRO</t>
  </si>
  <si>
    <t>на утримання об’єктів спільного користування чи ліквідацію негативних наслідків діяльності об’єктів спільного користування</t>
  </si>
  <si>
    <t>на виконання Програми виконання доручень виборців депутатам Дніпропетровської міської ради VII скликання 
на 2016 – 2020 роки</t>
  </si>
  <si>
    <t>на оплату послуг з приєднання електричних мереж амбулаторій центрів первинної медико-санітарної допомоги міста Кривого Рогу до мереж електропостачальної організації в рамках реалізації субпроекту „Підтримка реформування охорони здоров’я Дніпропетровської області"</t>
  </si>
  <si>
    <t>на проведення обстежень мешканців міста Кам’янська з профілактики та боротьби зі СНІДом</t>
  </si>
  <si>
    <t>на оплату послуг за приєднання електроустановок потужністю 900 кВт до електромереж, збільшення потужності (КЗ „Павлоградська міська лікарня                     № 4 ”ДОР”)</t>
  </si>
  <si>
    <t>на відшкодування витрат за житлово-комунальні послуги та за тимчасове проживання внутрішньо переміщенних осіб (вимушених переселенців)                             у м. Дніпропетровськ</t>
  </si>
  <si>
    <t>на виконання програми боротьби з захворюванням тварин на сказ на території населених пунктів та мисливських угідь Магдалинівського району на 2014 – 2016 роки</t>
  </si>
  <si>
    <t>на виконання Програми виконання доручень виборців депутатам Дніпропетровської міської ради VII скликання
 на 2016 – 2020 роки</t>
  </si>
  <si>
    <t>на виконання Дніпропетровської обласної комплексної програми (стратегії) екологічної безпеки та запобігання змінам клімату                                                 на 2016 – 2025 роки</t>
  </si>
  <si>
    <t>для фінансування по об’єкту „Капітальний ремонт глядацьких трибун з підтрибунними приміщеннями та покрівлі спортивного залу ДЮСШ № 3” (згідно з рішенням суду)</t>
  </si>
  <si>
    <t xml:space="preserve">від 02.12.2016 р.                                                                          № 114-7/VIІ
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</si>
</sst>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00"/>
    <numFmt numFmtId="189" formatCode="#,##0.000000000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dd/mm/yy"/>
  </numFmts>
  <fonts count="63">
    <font>
      <sz val="10"/>
      <name val="Arial"/>
      <family val="2"/>
    </font>
    <font>
      <sz val="10"/>
      <name val="Arial Cyr"/>
      <family val="2"/>
    </font>
    <font>
      <sz val="56"/>
      <name val="Arial Cyr"/>
      <family val="2"/>
    </font>
    <font>
      <sz val="50"/>
      <name val="Times New Roman"/>
      <family val="1"/>
    </font>
    <font>
      <sz val="48"/>
      <name val="Times New Roman"/>
      <family val="1"/>
    </font>
    <font>
      <sz val="22"/>
      <name val="Times New Roman"/>
      <family val="1"/>
    </font>
    <font>
      <b/>
      <sz val="48"/>
      <name val="Times New Roman"/>
      <family val="1"/>
    </font>
    <font>
      <sz val="56"/>
      <name val="Times New Roman"/>
      <family val="1"/>
    </font>
    <font>
      <sz val="26"/>
      <name val="Times New Roman"/>
      <family val="1"/>
    </font>
    <font>
      <sz val="44"/>
      <name val="Times New Roman"/>
      <family val="1"/>
    </font>
    <font>
      <sz val="42"/>
      <name val="Times New Roman"/>
      <family val="1"/>
    </font>
    <font>
      <sz val="11"/>
      <name val="Arial Cyr"/>
      <family val="2"/>
    </font>
    <font>
      <i/>
      <sz val="44"/>
      <name val="Times New Roman"/>
      <family val="1"/>
    </font>
    <font>
      <sz val="46"/>
      <name val="Times New Roman"/>
      <family val="1"/>
    </font>
    <font>
      <sz val="46"/>
      <color indexed="9"/>
      <name val="Times New Roman"/>
      <family val="1"/>
    </font>
    <font>
      <sz val="46"/>
      <name val="Times New Roman Cyr"/>
      <family val="1"/>
    </font>
    <font>
      <b/>
      <sz val="10"/>
      <name val="Arial Cyr"/>
      <family val="2"/>
    </font>
    <font>
      <sz val="28"/>
      <name val="Times New Roman"/>
      <family val="1"/>
    </font>
    <font>
      <sz val="20"/>
      <name val="Bookman Old Style"/>
      <family val="1"/>
    </font>
    <font>
      <sz val="26"/>
      <name val="Bookman Old Style"/>
      <family val="1"/>
    </font>
    <font>
      <sz val="10"/>
      <name val="Bookman Old Style"/>
      <family val="1"/>
    </font>
    <font>
      <sz val="40"/>
      <name val="Bookman Old Style"/>
      <family val="1"/>
    </font>
    <font>
      <sz val="40"/>
      <name val="Arial Cyr"/>
      <family val="2"/>
    </font>
    <font>
      <b/>
      <sz val="52"/>
      <name val="Times New Roman"/>
      <family val="1"/>
    </font>
    <font>
      <sz val="44"/>
      <name val="Calibri"/>
      <family val="2"/>
    </font>
    <font>
      <b/>
      <sz val="60"/>
      <name val="Times New Roman"/>
      <family val="1"/>
    </font>
    <font>
      <sz val="50"/>
      <name val="Arial Cyr"/>
      <family val="2"/>
    </font>
    <font>
      <sz val="52"/>
      <name val="Times New Roman"/>
      <family val="1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>
      <alignment vertical="top"/>
      <protection/>
    </xf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2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27" fillId="0" borderId="0" xfId="0" applyFont="1" applyFill="1" applyBorder="1" applyAlignment="1">
      <alignment vertical="top" wrapText="1"/>
    </xf>
    <xf numFmtId="0" fontId="2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9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23" fillId="0" borderId="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right"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10"/>
  <sheetViews>
    <sheetView showZeros="0" tabSelected="1" view="pageBreakPreview" zoomScale="20" zoomScaleNormal="25" zoomScaleSheetLayoutView="2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H3" sqref="H3"/>
    </sheetView>
  </sheetViews>
  <sheetFormatPr defaultColWidth="9.140625" defaultRowHeight="12.75"/>
  <cols>
    <col min="1" max="1" width="52.28125" style="3" customWidth="1"/>
    <col min="2" max="2" width="133.421875" style="3" customWidth="1"/>
    <col min="3" max="3" width="78.421875" style="3" customWidth="1"/>
    <col min="4" max="4" width="54.8515625" style="3" customWidth="1"/>
    <col min="5" max="5" width="107.28125" style="3" customWidth="1"/>
    <col min="6" max="6" width="126.57421875" style="3" customWidth="1"/>
    <col min="7" max="7" width="117.8515625" style="3" customWidth="1"/>
    <col min="8" max="8" width="125.7109375" style="3" customWidth="1"/>
    <col min="9" max="9" width="100.7109375" style="3" customWidth="1"/>
    <col min="10" max="11" width="73.57421875" style="3" customWidth="1"/>
    <col min="12" max="12" width="66.421875" style="3" customWidth="1"/>
    <col min="13" max="13" width="110.00390625" style="3" customWidth="1"/>
    <col min="14" max="14" width="65.7109375" style="3" customWidth="1"/>
    <col min="15" max="15" width="106.421875" style="3" customWidth="1"/>
    <col min="16" max="16" width="104.28125" style="3" customWidth="1"/>
    <col min="17" max="17" width="105.7109375" style="3" customWidth="1"/>
    <col min="18" max="18" width="95.00390625" style="3" customWidth="1"/>
    <col min="19" max="19" width="91.421875" style="3" customWidth="1"/>
    <col min="20" max="20" width="73.7109375" style="3" customWidth="1"/>
    <col min="21" max="21" width="58.421875" style="3" customWidth="1"/>
    <col min="22" max="22" width="90.7109375" style="3" customWidth="1"/>
    <col min="23" max="23" width="110.00390625" style="3" customWidth="1"/>
    <col min="24" max="24" width="115.00390625" style="3" customWidth="1"/>
    <col min="25" max="25" width="107.8515625" style="3" customWidth="1"/>
    <col min="26" max="26" width="109.28125" style="3" customWidth="1"/>
    <col min="27" max="27" width="117.8515625" style="3" customWidth="1"/>
    <col min="28" max="28" width="88.7109375" style="3" customWidth="1"/>
    <col min="29" max="29" width="85.7109375" style="3" customWidth="1"/>
    <col min="30" max="30" width="104.28125" style="3" customWidth="1"/>
    <col min="31" max="31" width="90.7109375" style="3" customWidth="1"/>
    <col min="32" max="32" width="105.00390625" style="3" customWidth="1"/>
    <col min="33" max="33" width="152.140625" style="3" customWidth="1"/>
    <col min="34" max="34" width="135.7109375" style="3" customWidth="1"/>
    <col min="35" max="35" width="115.7109375" style="3" customWidth="1"/>
    <col min="36" max="36" width="117.140625" style="3" customWidth="1"/>
    <col min="37" max="37" width="106.57421875" style="3" customWidth="1"/>
    <col min="38" max="39" width="90.421875" style="3" customWidth="1"/>
    <col min="40" max="40" width="75.421875" style="3" customWidth="1"/>
    <col min="41" max="41" width="79.7109375" style="3" customWidth="1"/>
    <col min="42" max="42" width="91.28125" style="3" customWidth="1"/>
    <col min="43" max="43" width="94.8515625" style="3" customWidth="1"/>
    <col min="44" max="44" width="76.28125" style="3" customWidth="1"/>
    <col min="45" max="45" width="97.00390625" style="3" customWidth="1"/>
    <col min="46" max="46" width="129.140625" style="3" customWidth="1"/>
    <col min="47" max="47" width="111.28125" style="3" customWidth="1"/>
    <col min="48" max="48" width="83.421875" style="3" customWidth="1"/>
    <col min="49" max="49" width="104.8515625" style="3" customWidth="1"/>
    <col min="50" max="50" width="81.28125" style="3" customWidth="1"/>
    <col min="51" max="51" width="104.8515625" style="3" customWidth="1"/>
    <col min="52" max="52" width="62.7109375" style="3" customWidth="1"/>
    <col min="53" max="53" width="49.421875" style="3" customWidth="1"/>
    <col min="54" max="54" width="80.8515625" style="3" customWidth="1"/>
    <col min="55" max="55" width="55.8515625" style="3" customWidth="1"/>
    <col min="56" max="56" width="65.140625" style="3" customWidth="1"/>
    <col min="57" max="57" width="66.57421875" style="3" customWidth="1"/>
    <col min="58" max="58" width="67.28125" style="3" customWidth="1"/>
    <col min="59" max="59" width="86.57421875" style="3" customWidth="1"/>
    <col min="60" max="60" width="63.7109375" style="3" customWidth="1"/>
    <col min="61" max="61" width="133.7109375" style="3" customWidth="1"/>
    <col min="62" max="62" width="90.8515625" style="3" customWidth="1"/>
    <col min="63" max="63" width="95.140625" style="3" customWidth="1"/>
    <col min="64" max="64" width="94.421875" style="3" customWidth="1"/>
    <col min="65" max="16384" width="9.140625" style="3" customWidth="1"/>
  </cols>
  <sheetData>
    <row r="1" spans="1:36" ht="71.25" customHeight="1">
      <c r="A1" s="1"/>
      <c r="B1" s="1"/>
      <c r="C1" s="1"/>
      <c r="D1" s="1"/>
      <c r="E1" s="2"/>
      <c r="H1" s="4" t="s">
        <v>0</v>
      </c>
      <c r="V1" s="5"/>
      <c r="W1" s="5"/>
      <c r="X1" s="5"/>
      <c r="Y1" s="5"/>
      <c r="Z1" s="5"/>
      <c r="AA1" s="5"/>
      <c r="AB1" s="6"/>
      <c r="AC1" s="6"/>
      <c r="AD1" s="6"/>
      <c r="AE1" s="6"/>
      <c r="AF1" s="6"/>
      <c r="AG1" s="6"/>
      <c r="AH1" s="6"/>
      <c r="AI1" s="6"/>
      <c r="AJ1" s="6"/>
    </row>
    <row r="2" spans="1:36" ht="71.25" customHeight="1">
      <c r="A2" s="1"/>
      <c r="B2" s="1"/>
      <c r="C2" s="1"/>
      <c r="D2" s="1"/>
      <c r="E2" s="2"/>
      <c r="H2" s="4" t="s">
        <v>189</v>
      </c>
      <c r="V2" s="7"/>
      <c r="W2" s="7"/>
      <c r="X2" s="7"/>
      <c r="Y2" s="7"/>
      <c r="Z2" s="7"/>
      <c r="AA2" s="7"/>
      <c r="AB2" s="6"/>
      <c r="AC2" s="6"/>
      <c r="AD2" s="6"/>
      <c r="AE2" s="6"/>
      <c r="AF2" s="6"/>
      <c r="AG2" s="6"/>
      <c r="AH2" s="6"/>
      <c r="AI2" s="6"/>
      <c r="AJ2" s="6"/>
    </row>
    <row r="3" spans="1:41" ht="93" customHeight="1">
      <c r="A3" s="1"/>
      <c r="B3" s="1"/>
      <c r="C3" s="1"/>
      <c r="D3" s="1"/>
      <c r="E3" s="2"/>
      <c r="F3" s="2"/>
      <c r="H3" s="4" t="s">
        <v>204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9"/>
      <c r="V3" s="9"/>
      <c r="W3" s="9"/>
      <c r="X3" s="9"/>
      <c r="Y3" s="9"/>
      <c r="Z3" s="9"/>
      <c r="AA3" s="9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3:14" ht="65.25" customHeight="1">
      <c r="C4" s="63" t="s">
        <v>191</v>
      </c>
      <c r="D4" s="63"/>
      <c r="E4" s="63"/>
      <c r="F4" s="63"/>
      <c r="G4" s="63"/>
      <c r="H4" s="63"/>
      <c r="I4" s="52"/>
      <c r="J4" s="53"/>
      <c r="K4" s="53"/>
      <c r="L4" s="53"/>
      <c r="M4" s="53"/>
      <c r="N4" s="53"/>
    </row>
    <row r="5" spans="1:41" ht="75" customHeight="1">
      <c r="A5" s="10"/>
      <c r="C5" s="63"/>
      <c r="D5" s="63"/>
      <c r="E5" s="63"/>
      <c r="F5" s="63"/>
      <c r="G5" s="63"/>
      <c r="H5" s="6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8" customHeight="1">
      <c r="A6" s="10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9"/>
      <c r="U6" s="9"/>
      <c r="V6" s="9"/>
      <c r="W6" s="9"/>
      <c r="X6" s="9"/>
      <c r="Y6" s="9"/>
      <c r="Z6" s="9"/>
      <c r="AA6" s="9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64" s="16" customFormat="1" ht="81" customHeight="1">
      <c r="A7" s="14"/>
      <c r="B7" s="14"/>
      <c r="C7" s="14"/>
      <c r="D7" s="14"/>
      <c r="E7" s="15"/>
      <c r="H7" s="14" t="s">
        <v>1</v>
      </c>
      <c r="I7" s="14"/>
      <c r="J7" s="14"/>
      <c r="K7" s="14"/>
      <c r="L7" s="14"/>
      <c r="M7" s="14"/>
      <c r="N7" s="14"/>
      <c r="O7" s="14" t="s">
        <v>1</v>
      </c>
      <c r="P7" s="14"/>
      <c r="S7" s="14"/>
      <c r="V7" s="14" t="s">
        <v>1</v>
      </c>
      <c r="AA7" s="14" t="s">
        <v>1</v>
      </c>
      <c r="AB7" s="14"/>
      <c r="AG7" s="14" t="s">
        <v>1</v>
      </c>
      <c r="AK7" s="14"/>
      <c r="AL7" s="14" t="s">
        <v>1</v>
      </c>
      <c r="AM7" s="14"/>
      <c r="AN7" s="14"/>
      <c r="AO7" s="14"/>
      <c r="AS7" s="14" t="s">
        <v>1</v>
      </c>
      <c r="AU7" s="14"/>
      <c r="AW7" s="14"/>
      <c r="AX7" s="14"/>
      <c r="AY7" s="14" t="s">
        <v>1</v>
      </c>
      <c r="BA7" s="14"/>
      <c r="BG7" s="14"/>
      <c r="BH7" s="14" t="s">
        <v>1</v>
      </c>
      <c r="BL7" s="14" t="s">
        <v>1</v>
      </c>
    </row>
    <row r="8" spans="1:65" s="18" customFormat="1" ht="262.5" customHeight="1">
      <c r="A8" s="59" t="s">
        <v>2</v>
      </c>
      <c r="B8" s="59" t="s">
        <v>69</v>
      </c>
      <c r="C8" s="17" t="s">
        <v>3</v>
      </c>
      <c r="D8" s="59" t="s">
        <v>113</v>
      </c>
      <c r="E8" s="59"/>
      <c r="F8" s="59"/>
      <c r="G8" s="59"/>
      <c r="H8" s="59"/>
      <c r="I8" s="59" t="s">
        <v>113</v>
      </c>
      <c r="J8" s="59"/>
      <c r="K8" s="59"/>
      <c r="L8" s="59"/>
      <c r="M8" s="59"/>
      <c r="N8" s="59"/>
      <c r="O8" s="59"/>
      <c r="P8" s="59" t="s">
        <v>3</v>
      </c>
      <c r="Q8" s="59"/>
      <c r="R8" s="59"/>
      <c r="S8" s="59"/>
      <c r="T8" s="59"/>
      <c r="U8" s="59"/>
      <c r="V8" s="54" t="s">
        <v>68</v>
      </c>
      <c r="W8" s="59" t="s">
        <v>68</v>
      </c>
      <c r="X8" s="59"/>
      <c r="Y8" s="59"/>
      <c r="Z8" s="59"/>
      <c r="AA8" s="59"/>
      <c r="AB8" s="59" t="s">
        <v>68</v>
      </c>
      <c r="AC8" s="59"/>
      <c r="AD8" s="59"/>
      <c r="AE8" s="59"/>
      <c r="AF8" s="59"/>
      <c r="AG8" s="59"/>
      <c r="AH8" s="59" t="s">
        <v>68</v>
      </c>
      <c r="AI8" s="59"/>
      <c r="AJ8" s="59"/>
      <c r="AK8" s="59"/>
      <c r="AL8" s="59" t="s">
        <v>4</v>
      </c>
      <c r="AM8" s="59" t="s">
        <v>102</v>
      </c>
      <c r="AN8" s="59"/>
      <c r="AO8" s="59"/>
      <c r="AP8" s="59"/>
      <c r="AQ8" s="59"/>
      <c r="AR8" s="59"/>
      <c r="AS8" s="59"/>
      <c r="AT8" s="59" t="s">
        <v>102</v>
      </c>
      <c r="AU8" s="59"/>
      <c r="AV8" s="59"/>
      <c r="AW8" s="59"/>
      <c r="AX8" s="59"/>
      <c r="AY8" s="59"/>
      <c r="AZ8" s="59" t="s">
        <v>102</v>
      </c>
      <c r="BA8" s="59"/>
      <c r="BB8" s="59"/>
      <c r="BC8" s="59"/>
      <c r="BD8" s="59"/>
      <c r="BE8" s="59"/>
      <c r="BF8" s="59"/>
      <c r="BG8" s="59"/>
      <c r="BH8" s="59"/>
      <c r="BI8" s="54" t="s">
        <v>102</v>
      </c>
      <c r="BJ8" s="59" t="s">
        <v>180</v>
      </c>
      <c r="BK8" s="59"/>
      <c r="BL8" s="59" t="s">
        <v>4</v>
      </c>
      <c r="BM8" s="57"/>
    </row>
    <row r="9" spans="1:65" s="18" customFormat="1" ht="102.75" customHeight="1">
      <c r="A9" s="59"/>
      <c r="B9" s="59"/>
      <c r="C9" s="59" t="s">
        <v>5</v>
      </c>
      <c r="D9" s="59"/>
      <c r="E9" s="59"/>
      <c r="F9" s="59"/>
      <c r="G9" s="59"/>
      <c r="H9" s="59"/>
      <c r="I9" s="59" t="s">
        <v>5</v>
      </c>
      <c r="J9" s="59"/>
      <c r="K9" s="59"/>
      <c r="L9" s="59"/>
      <c r="M9" s="59"/>
      <c r="N9" s="59"/>
      <c r="O9" s="59"/>
      <c r="P9" s="59" t="s">
        <v>5</v>
      </c>
      <c r="Q9" s="59"/>
      <c r="R9" s="59"/>
      <c r="S9" s="59" t="s">
        <v>6</v>
      </c>
      <c r="T9" s="59"/>
      <c r="U9" s="59"/>
      <c r="V9" s="54" t="s">
        <v>5</v>
      </c>
      <c r="W9" s="59" t="s">
        <v>5</v>
      </c>
      <c r="X9" s="59"/>
      <c r="Y9" s="59"/>
      <c r="Z9" s="59"/>
      <c r="AA9" s="59"/>
      <c r="AB9" s="59" t="s">
        <v>6</v>
      </c>
      <c r="AC9" s="59"/>
      <c r="AD9" s="59"/>
      <c r="AE9" s="59"/>
      <c r="AF9" s="59"/>
      <c r="AG9" s="59"/>
      <c r="AH9" s="59" t="s">
        <v>6</v>
      </c>
      <c r="AI9" s="59"/>
      <c r="AJ9" s="59"/>
      <c r="AK9" s="59"/>
      <c r="AL9" s="59"/>
      <c r="AM9" s="59" t="s">
        <v>5</v>
      </c>
      <c r="AN9" s="59"/>
      <c r="AO9" s="59"/>
      <c r="AP9" s="54" t="s">
        <v>6</v>
      </c>
      <c r="AQ9" s="59" t="s">
        <v>5</v>
      </c>
      <c r="AR9" s="59"/>
      <c r="AS9" s="59"/>
      <c r="AT9" s="59" t="s">
        <v>5</v>
      </c>
      <c r="AU9" s="59"/>
      <c r="AV9" s="59"/>
      <c r="AW9" s="59"/>
      <c r="AX9" s="59"/>
      <c r="AY9" s="59"/>
      <c r="AZ9" s="54" t="s">
        <v>5</v>
      </c>
      <c r="BA9" s="59" t="s">
        <v>6</v>
      </c>
      <c r="BB9" s="59"/>
      <c r="BC9" s="59"/>
      <c r="BD9" s="59"/>
      <c r="BE9" s="59"/>
      <c r="BF9" s="59"/>
      <c r="BG9" s="59"/>
      <c r="BH9" s="59"/>
      <c r="BI9" s="54" t="s">
        <v>6</v>
      </c>
      <c r="BJ9" s="59" t="s">
        <v>5</v>
      </c>
      <c r="BK9" s="59"/>
      <c r="BL9" s="59"/>
      <c r="BM9" s="57"/>
    </row>
    <row r="10" spans="1:65" s="18" customFormat="1" ht="162" customHeight="1">
      <c r="A10" s="59"/>
      <c r="B10" s="59"/>
      <c r="C10" s="19"/>
      <c r="D10" s="19"/>
      <c r="E10" s="61" t="s">
        <v>7</v>
      </c>
      <c r="F10" s="61"/>
      <c r="G10" s="61"/>
      <c r="H10" s="20" t="s">
        <v>7</v>
      </c>
      <c r="I10" s="61" t="s">
        <v>115</v>
      </c>
      <c r="J10" s="61"/>
      <c r="K10" s="61"/>
      <c r="L10" s="61"/>
      <c r="M10" s="61"/>
      <c r="N10" s="61"/>
      <c r="O10" s="61"/>
      <c r="P10" s="61" t="s">
        <v>8</v>
      </c>
      <c r="Q10" s="61"/>
      <c r="R10" s="61"/>
      <c r="S10" s="61"/>
      <c r="T10" s="61"/>
      <c r="U10" s="61"/>
      <c r="V10" s="20"/>
      <c r="W10" s="61" t="s">
        <v>9</v>
      </c>
      <c r="X10" s="61"/>
      <c r="Y10" s="61"/>
      <c r="Z10" s="61"/>
      <c r="AA10" s="61"/>
      <c r="AB10" s="61" t="s">
        <v>9</v>
      </c>
      <c r="AC10" s="61"/>
      <c r="AD10" s="61"/>
      <c r="AE10" s="61"/>
      <c r="AF10" s="61"/>
      <c r="AG10" s="61"/>
      <c r="AH10" s="61" t="s">
        <v>9</v>
      </c>
      <c r="AI10" s="61"/>
      <c r="AJ10" s="61"/>
      <c r="AK10" s="61"/>
      <c r="AL10" s="59"/>
      <c r="AM10" s="54"/>
      <c r="AN10" s="59"/>
      <c r="AO10" s="59"/>
      <c r="AP10" s="54" t="s">
        <v>103</v>
      </c>
      <c r="AQ10" s="62" t="s">
        <v>9</v>
      </c>
      <c r="AR10" s="62"/>
      <c r="AS10" s="62"/>
      <c r="AT10" s="62" t="s">
        <v>9</v>
      </c>
      <c r="AU10" s="62"/>
      <c r="AV10" s="62"/>
      <c r="AW10" s="62"/>
      <c r="AX10" s="62"/>
      <c r="AY10" s="62"/>
      <c r="AZ10" s="62" t="s">
        <v>9</v>
      </c>
      <c r="BA10" s="62"/>
      <c r="BB10" s="62"/>
      <c r="BC10" s="62"/>
      <c r="BD10" s="62"/>
      <c r="BE10" s="62"/>
      <c r="BF10" s="62"/>
      <c r="BG10" s="62"/>
      <c r="BH10" s="62"/>
      <c r="BI10" s="62" t="s">
        <v>9</v>
      </c>
      <c r="BJ10" s="62"/>
      <c r="BK10" s="62"/>
      <c r="BL10" s="59"/>
      <c r="BM10" s="57"/>
    </row>
    <row r="11" spans="1:65" s="18" customFormat="1" ht="84.75" customHeight="1">
      <c r="A11" s="59"/>
      <c r="B11" s="59"/>
      <c r="C11" s="20" t="s">
        <v>10</v>
      </c>
      <c r="D11" s="20" t="s">
        <v>129</v>
      </c>
      <c r="E11" s="20" t="s">
        <v>11</v>
      </c>
      <c r="F11" s="20" t="s">
        <v>12</v>
      </c>
      <c r="G11" s="20" t="s">
        <v>13</v>
      </c>
      <c r="H11" s="20" t="s">
        <v>14</v>
      </c>
      <c r="I11" s="61" t="s">
        <v>157</v>
      </c>
      <c r="J11" s="61"/>
      <c r="K11" s="20" t="s">
        <v>163</v>
      </c>
      <c r="L11" s="20" t="s">
        <v>165</v>
      </c>
      <c r="M11" s="20" t="s">
        <v>183</v>
      </c>
      <c r="N11" s="61" t="s">
        <v>116</v>
      </c>
      <c r="O11" s="61"/>
      <c r="P11" s="61" t="s">
        <v>15</v>
      </c>
      <c r="Q11" s="61"/>
      <c r="R11" s="61"/>
      <c r="S11" s="61"/>
      <c r="T11" s="61"/>
      <c r="U11" s="61"/>
      <c r="V11" s="20" t="s">
        <v>16</v>
      </c>
      <c r="W11" s="61" t="s">
        <v>17</v>
      </c>
      <c r="X11" s="61"/>
      <c r="Y11" s="61"/>
      <c r="Z11" s="61"/>
      <c r="AA11" s="61"/>
      <c r="AB11" s="61" t="s">
        <v>17</v>
      </c>
      <c r="AC11" s="61"/>
      <c r="AD11" s="61"/>
      <c r="AE11" s="61"/>
      <c r="AF11" s="61"/>
      <c r="AG11" s="61"/>
      <c r="AH11" s="61" t="s">
        <v>17</v>
      </c>
      <c r="AI11" s="61"/>
      <c r="AJ11" s="61"/>
      <c r="AK11" s="61"/>
      <c r="AL11" s="59"/>
      <c r="AM11" s="20" t="s">
        <v>176</v>
      </c>
      <c r="AN11" s="20" t="s">
        <v>172</v>
      </c>
      <c r="AO11" s="20" t="s">
        <v>111</v>
      </c>
      <c r="AP11" s="20" t="s">
        <v>104</v>
      </c>
      <c r="AQ11" s="62" t="s">
        <v>131</v>
      </c>
      <c r="AR11" s="62"/>
      <c r="AS11" s="62"/>
      <c r="AT11" s="62" t="s">
        <v>131</v>
      </c>
      <c r="AU11" s="62"/>
      <c r="AV11" s="62"/>
      <c r="AW11" s="62"/>
      <c r="AX11" s="62"/>
      <c r="AY11" s="62"/>
      <c r="AZ11" s="62" t="s">
        <v>131</v>
      </c>
      <c r="BA11" s="62"/>
      <c r="BB11" s="62"/>
      <c r="BC11" s="62"/>
      <c r="BD11" s="62"/>
      <c r="BE11" s="62"/>
      <c r="BF11" s="62"/>
      <c r="BG11" s="62"/>
      <c r="BH11" s="62"/>
      <c r="BI11" s="62" t="s">
        <v>131</v>
      </c>
      <c r="BJ11" s="62"/>
      <c r="BK11" s="62"/>
      <c r="BL11" s="59"/>
      <c r="BM11" s="57"/>
    </row>
    <row r="12" spans="1:65" s="18" customFormat="1" ht="228" customHeight="1">
      <c r="A12" s="59"/>
      <c r="B12" s="59"/>
      <c r="C12" s="59" t="s">
        <v>18</v>
      </c>
      <c r="D12" s="59" t="s">
        <v>130</v>
      </c>
      <c r="E12" s="59" t="s">
        <v>28</v>
      </c>
      <c r="F12" s="59" t="s">
        <v>29</v>
      </c>
      <c r="G12" s="59" t="s">
        <v>19</v>
      </c>
      <c r="H12" s="59" t="s">
        <v>110</v>
      </c>
      <c r="I12" s="59" t="s">
        <v>156</v>
      </c>
      <c r="J12" s="59"/>
      <c r="K12" s="59" t="s">
        <v>164</v>
      </c>
      <c r="L12" s="59" t="s">
        <v>166</v>
      </c>
      <c r="M12" s="59" t="s">
        <v>184</v>
      </c>
      <c r="N12" s="59" t="s">
        <v>117</v>
      </c>
      <c r="O12" s="51" t="s">
        <v>119</v>
      </c>
      <c r="P12" s="59" t="s">
        <v>127</v>
      </c>
      <c r="Q12" s="59" t="s">
        <v>160</v>
      </c>
      <c r="R12" s="59" t="s">
        <v>188</v>
      </c>
      <c r="S12" s="59" t="s">
        <v>127</v>
      </c>
      <c r="T12" s="59" t="s">
        <v>20</v>
      </c>
      <c r="U12" s="59" t="s">
        <v>21</v>
      </c>
      <c r="V12" s="59" t="s">
        <v>22</v>
      </c>
      <c r="W12" s="59" t="s">
        <v>128</v>
      </c>
      <c r="X12" s="59" t="s">
        <v>161</v>
      </c>
      <c r="Y12" s="59" t="s">
        <v>162</v>
      </c>
      <c r="Z12" s="59" t="s">
        <v>177</v>
      </c>
      <c r="AA12" s="59" t="s">
        <v>120</v>
      </c>
      <c r="AB12" s="59" t="s">
        <v>23</v>
      </c>
      <c r="AC12" s="59" t="s">
        <v>24</v>
      </c>
      <c r="AD12" s="59" t="s">
        <v>161</v>
      </c>
      <c r="AE12" s="59" t="s">
        <v>128</v>
      </c>
      <c r="AF12" s="59" t="s">
        <v>162</v>
      </c>
      <c r="AG12" s="59" t="s">
        <v>126</v>
      </c>
      <c r="AH12" s="59" t="s">
        <v>193</v>
      </c>
      <c r="AI12" s="59" t="s">
        <v>121</v>
      </c>
      <c r="AJ12" s="59" t="s">
        <v>159</v>
      </c>
      <c r="AK12" s="59" t="s">
        <v>20</v>
      </c>
      <c r="AL12" s="59"/>
      <c r="AM12" s="59" t="s">
        <v>175</v>
      </c>
      <c r="AN12" s="59" t="s">
        <v>173</v>
      </c>
      <c r="AO12" s="59" t="s">
        <v>194</v>
      </c>
      <c r="AP12" s="59" t="s">
        <v>105</v>
      </c>
      <c r="AQ12" s="59" t="s">
        <v>114</v>
      </c>
      <c r="AR12" s="59" t="s">
        <v>197</v>
      </c>
      <c r="AS12" s="59" t="s">
        <v>195</v>
      </c>
      <c r="AT12" s="59" t="s">
        <v>196</v>
      </c>
      <c r="AU12" s="59" t="s">
        <v>169</v>
      </c>
      <c r="AV12" s="59" t="s">
        <v>198</v>
      </c>
      <c r="AW12" s="59" t="s">
        <v>199</v>
      </c>
      <c r="AX12" s="59" t="s">
        <v>185</v>
      </c>
      <c r="AY12" s="59" t="s">
        <v>200</v>
      </c>
      <c r="AZ12" s="59" t="s">
        <v>106</v>
      </c>
      <c r="BA12" s="59"/>
      <c r="BB12" s="59" t="s">
        <v>201</v>
      </c>
      <c r="BC12" s="59" t="s">
        <v>122</v>
      </c>
      <c r="BD12" s="59" t="s">
        <v>123</v>
      </c>
      <c r="BE12" s="59" t="s">
        <v>124</v>
      </c>
      <c r="BF12" s="59" t="s">
        <v>168</v>
      </c>
      <c r="BG12" s="59" t="s">
        <v>203</v>
      </c>
      <c r="BH12" s="59" t="s">
        <v>125</v>
      </c>
      <c r="BI12" s="59" t="s">
        <v>202</v>
      </c>
      <c r="BJ12" s="59" t="s">
        <v>179</v>
      </c>
      <c r="BK12" s="51" t="s">
        <v>119</v>
      </c>
      <c r="BL12" s="59"/>
      <c r="BM12" s="57"/>
    </row>
    <row r="13" spans="1:65" s="18" customFormat="1" ht="152.25" customHeight="1">
      <c r="A13" s="59"/>
      <c r="B13" s="59"/>
      <c r="C13" s="59"/>
      <c r="D13" s="59"/>
      <c r="E13" s="59"/>
      <c r="F13" s="59"/>
      <c r="G13" s="59"/>
      <c r="H13" s="59"/>
      <c r="I13" s="61" t="s">
        <v>155</v>
      </c>
      <c r="J13" s="61" t="s">
        <v>167</v>
      </c>
      <c r="K13" s="59"/>
      <c r="L13" s="59"/>
      <c r="M13" s="59"/>
      <c r="N13" s="59"/>
      <c r="O13" s="61" t="s">
        <v>118</v>
      </c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 t="s">
        <v>178</v>
      </c>
      <c r="BL13" s="59"/>
      <c r="BM13" s="57"/>
    </row>
    <row r="14" spans="1:64" s="21" customFormat="1" ht="327" customHeight="1">
      <c r="A14" s="59"/>
      <c r="B14" s="59"/>
      <c r="C14" s="59"/>
      <c r="D14" s="59"/>
      <c r="E14" s="59"/>
      <c r="F14" s="59"/>
      <c r="G14" s="59"/>
      <c r="H14" s="59"/>
      <c r="I14" s="61"/>
      <c r="J14" s="61"/>
      <c r="K14" s="59"/>
      <c r="L14" s="59"/>
      <c r="M14" s="59"/>
      <c r="N14" s="59"/>
      <c r="O14" s="61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</row>
    <row r="15" spans="1:64" ht="74.25" customHeight="1">
      <c r="A15" s="22" t="s">
        <v>32</v>
      </c>
      <c r="B15" s="23" t="s">
        <v>72</v>
      </c>
      <c r="C15" s="55"/>
      <c r="D15" s="55"/>
      <c r="E15" s="55">
        <f>22102900-1060900+49900</f>
        <v>21091900</v>
      </c>
      <c r="F15" s="55">
        <f>13663000-1492000-500000+1250000+3995000-894300</f>
        <v>16021700</v>
      </c>
      <c r="G15" s="55">
        <f>1800+100+500</f>
        <v>2400</v>
      </c>
      <c r="H15" s="56">
        <v>52304</v>
      </c>
      <c r="I15" s="56">
        <v>40140</v>
      </c>
      <c r="J15" s="56"/>
      <c r="K15" s="56"/>
      <c r="L15" s="56">
        <v>1650700</v>
      </c>
      <c r="M15" s="56"/>
      <c r="N15" s="56"/>
      <c r="O15" s="56"/>
      <c r="P15" s="56"/>
      <c r="Q15" s="56"/>
      <c r="R15" s="56"/>
      <c r="S15" s="56"/>
      <c r="T15" s="56"/>
      <c r="U15" s="56"/>
      <c r="V15" s="56">
        <v>0</v>
      </c>
      <c r="W15" s="56">
        <f>99960+166600+166800</f>
        <v>433360</v>
      </c>
      <c r="X15" s="56"/>
      <c r="Y15" s="56"/>
      <c r="Z15" s="56"/>
      <c r="AA15" s="56">
        <f>15800-15800</f>
        <v>0</v>
      </c>
      <c r="AB15" s="56"/>
      <c r="AC15" s="56"/>
      <c r="AD15" s="56"/>
      <c r="AE15" s="56">
        <v>99960</v>
      </c>
      <c r="AF15" s="56"/>
      <c r="AG15" s="56"/>
      <c r="AH15" s="56"/>
      <c r="AI15" s="56"/>
      <c r="AJ15" s="56"/>
      <c r="AK15" s="56"/>
      <c r="AL15" s="56">
        <f aca="true" t="shared" si="0" ref="AL15:AL46">SUM(C15:AK15)-O15</f>
        <v>39392464</v>
      </c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>
        <v>47000</v>
      </c>
      <c r="BA15" s="56"/>
      <c r="BB15" s="56"/>
      <c r="BC15" s="56">
        <f>68826+59660</f>
        <v>128486</v>
      </c>
      <c r="BD15" s="56"/>
      <c r="BE15" s="56">
        <f>437674-43750</f>
        <v>393924</v>
      </c>
      <c r="BF15" s="56"/>
      <c r="BG15" s="56"/>
      <c r="BH15" s="56"/>
      <c r="BI15" s="56"/>
      <c r="BJ15" s="56"/>
      <c r="BK15" s="56"/>
      <c r="BL15" s="56">
        <f>SUM(AM15:BJ15)</f>
        <v>569410</v>
      </c>
    </row>
    <row r="16" spans="1:64" ht="74.25" customHeight="1">
      <c r="A16" s="22" t="s">
        <v>33</v>
      </c>
      <c r="B16" s="23" t="s">
        <v>190</v>
      </c>
      <c r="C16" s="24"/>
      <c r="D16" s="24">
        <v>23306400</v>
      </c>
      <c r="E16" s="24">
        <f>877217500-38541700+1990800</f>
        <v>840666600</v>
      </c>
      <c r="F16" s="24">
        <f>828803800-283001800-90000000+50000000+59545700-2017700-41573000</f>
        <v>521757000</v>
      </c>
      <c r="G16" s="24">
        <f>315200+25700+162200</f>
        <v>503100</v>
      </c>
      <c r="H16" s="25">
        <f>10041137-680500</f>
        <v>9360637</v>
      </c>
      <c r="I16" s="25">
        <v>1706571</v>
      </c>
      <c r="J16" s="25"/>
      <c r="K16" s="25"/>
      <c r="L16" s="25">
        <f>5000000</f>
        <v>5000000</v>
      </c>
      <c r="M16" s="25">
        <v>6806776</v>
      </c>
      <c r="N16" s="25"/>
      <c r="O16" s="25"/>
      <c r="P16" s="25"/>
      <c r="Q16" s="25"/>
      <c r="R16" s="25"/>
      <c r="S16" s="25"/>
      <c r="T16" s="25"/>
      <c r="U16" s="25"/>
      <c r="V16" s="25">
        <v>0</v>
      </c>
      <c r="W16" s="25">
        <f>2311375-37431-359169+4379400-125000+62000+1000000+4416300+291167+196800</f>
        <v>12135442</v>
      </c>
      <c r="X16" s="25">
        <f>678515.69+7212.37</f>
        <v>685728.0599999999</v>
      </c>
      <c r="Y16" s="25"/>
      <c r="Z16" s="25"/>
      <c r="AA16" s="25">
        <f>132900-132900</f>
        <v>0</v>
      </c>
      <c r="AB16" s="25"/>
      <c r="AC16" s="25"/>
      <c r="AD16" s="25"/>
      <c r="AE16" s="25">
        <f>2311375-1000000-291167</f>
        <v>1020208</v>
      </c>
      <c r="AF16" s="25"/>
      <c r="AG16" s="25"/>
      <c r="AH16" s="25"/>
      <c r="AI16" s="25"/>
      <c r="AJ16" s="25"/>
      <c r="AK16" s="25"/>
      <c r="AL16" s="25">
        <f t="shared" si="0"/>
        <v>1422948462.06</v>
      </c>
      <c r="AM16" s="25"/>
      <c r="AN16" s="25"/>
      <c r="AO16" s="25"/>
      <c r="AP16" s="25">
        <v>25000000</v>
      </c>
      <c r="AQ16" s="25"/>
      <c r="AR16" s="25"/>
      <c r="AS16" s="25">
        <f>251696+10000+165236+100000</f>
        <v>526932</v>
      </c>
      <c r="AT16" s="25"/>
      <c r="AU16" s="25">
        <v>650000</v>
      </c>
      <c r="AV16" s="25"/>
      <c r="AW16" s="25">
        <v>2150000</v>
      </c>
      <c r="AX16" s="25"/>
      <c r="AY16" s="25"/>
      <c r="AZ16" s="25"/>
      <c r="BA16" s="25">
        <f>1991000-19000</f>
        <v>1972000</v>
      </c>
      <c r="BB16" s="25">
        <f>452055+26145+75014</f>
        <v>553214</v>
      </c>
      <c r="BC16" s="25"/>
      <c r="BD16" s="25"/>
      <c r="BE16" s="25"/>
      <c r="BF16" s="25"/>
      <c r="BG16" s="25"/>
      <c r="BH16" s="25"/>
      <c r="BI16" s="25"/>
      <c r="BJ16" s="25"/>
      <c r="BK16" s="25"/>
      <c r="BL16" s="25">
        <f aca="true" t="shared" si="1" ref="BL16:BL73">SUM(AM16:BJ16)</f>
        <v>30852146</v>
      </c>
    </row>
    <row r="17" spans="1:64" ht="74.25" customHeight="1">
      <c r="A17" s="22" t="s">
        <v>34</v>
      </c>
      <c r="B17" s="23" t="s">
        <v>192</v>
      </c>
      <c r="C17" s="24"/>
      <c r="D17" s="24">
        <f>9158500+6000000</f>
        <v>15158500</v>
      </c>
      <c r="E17" s="24">
        <f>238610100-10557200+541300</f>
        <v>228594200</v>
      </c>
      <c r="F17" s="24">
        <f>244714900-67525700-1500000+15939000+33238500+469000-700</f>
        <v>225335000</v>
      </c>
      <c r="G17" s="24">
        <f>82500+18500+68400</f>
        <v>169400</v>
      </c>
      <c r="H17" s="25">
        <f>6892636-290000</f>
        <v>6602636</v>
      </c>
      <c r="I17" s="25">
        <v>442630</v>
      </c>
      <c r="J17" s="25"/>
      <c r="K17" s="25"/>
      <c r="L17" s="25">
        <f>5000000</f>
        <v>5000000</v>
      </c>
      <c r="M17" s="25"/>
      <c r="N17" s="25"/>
      <c r="O17" s="25"/>
      <c r="P17" s="25"/>
      <c r="Q17" s="25"/>
      <c r="R17" s="25"/>
      <c r="S17" s="25"/>
      <c r="T17" s="25"/>
      <c r="U17" s="25"/>
      <c r="V17" s="25">
        <v>20000000</v>
      </c>
      <c r="W17" s="25">
        <f>169960+839800-33320-36400</f>
        <v>940040</v>
      </c>
      <c r="X17" s="25">
        <v>6000</v>
      </c>
      <c r="Y17" s="25">
        <f>115000-115000</f>
        <v>0</v>
      </c>
      <c r="Z17" s="25"/>
      <c r="AA17" s="25">
        <f>39300-39300</f>
        <v>0</v>
      </c>
      <c r="AB17" s="25"/>
      <c r="AC17" s="25"/>
      <c r="AD17" s="25"/>
      <c r="AE17" s="25">
        <v>169960</v>
      </c>
      <c r="AF17" s="25">
        <v>115000</v>
      </c>
      <c r="AG17" s="25"/>
      <c r="AH17" s="25"/>
      <c r="AI17" s="25"/>
      <c r="AJ17" s="25"/>
      <c r="AK17" s="25">
        <v>13518000</v>
      </c>
      <c r="AL17" s="25">
        <f t="shared" si="0"/>
        <v>516051366</v>
      </c>
      <c r="AM17" s="25"/>
      <c r="AN17" s="25"/>
      <c r="AO17" s="25"/>
      <c r="AP17" s="25">
        <f>2500000</f>
        <v>2500000</v>
      </c>
      <c r="AQ17" s="25">
        <v>68900</v>
      </c>
      <c r="AR17" s="25">
        <v>100000</v>
      </c>
      <c r="AS17" s="25"/>
      <c r="AT17" s="25"/>
      <c r="AU17" s="25"/>
      <c r="AV17" s="25"/>
      <c r="AW17" s="25"/>
      <c r="AX17" s="25"/>
      <c r="AY17" s="25"/>
      <c r="AZ17" s="25">
        <f>10000</f>
        <v>10000</v>
      </c>
      <c r="BA17" s="25"/>
      <c r="BB17" s="25"/>
      <c r="BC17" s="25">
        <v>600000</v>
      </c>
      <c r="BD17" s="25">
        <v>1000000</v>
      </c>
      <c r="BE17" s="25">
        <f>3800000+656300-4456300</f>
        <v>0</v>
      </c>
      <c r="BF17" s="25"/>
      <c r="BG17" s="25"/>
      <c r="BH17" s="25">
        <v>1000000</v>
      </c>
      <c r="BI17" s="25"/>
      <c r="BJ17" s="25">
        <v>9900000</v>
      </c>
      <c r="BK17" s="25">
        <v>9900000</v>
      </c>
      <c r="BL17" s="25">
        <f t="shared" si="1"/>
        <v>15178900</v>
      </c>
    </row>
    <row r="18" spans="1:64" ht="74.25" customHeight="1">
      <c r="A18" s="22" t="s">
        <v>35</v>
      </c>
      <c r="B18" s="23" t="s">
        <v>73</v>
      </c>
      <c r="C18" s="24"/>
      <c r="D18" s="24"/>
      <c r="E18" s="24">
        <f>51937900-1803700+119000</f>
        <v>50253200</v>
      </c>
      <c r="F18" s="24">
        <f>101216800-24889200-10997400+266600+12951400+665000-500</f>
        <v>79212700</v>
      </c>
      <c r="G18" s="24">
        <f>464500+58100+270500</f>
        <v>793100</v>
      </c>
      <c r="H18" s="25">
        <f>1842285-250000</f>
        <v>1592285</v>
      </c>
      <c r="I18" s="25">
        <v>76679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>
        <v>4631200</v>
      </c>
      <c r="W18" s="25">
        <f>122425+193200+206800</f>
        <v>522425</v>
      </c>
      <c r="X18" s="25"/>
      <c r="Y18" s="25"/>
      <c r="Z18" s="25"/>
      <c r="AA18" s="25">
        <v>11500</v>
      </c>
      <c r="AB18" s="25"/>
      <c r="AC18" s="25"/>
      <c r="AD18" s="25"/>
      <c r="AE18" s="25">
        <v>122425</v>
      </c>
      <c r="AF18" s="25"/>
      <c r="AG18" s="25"/>
      <c r="AH18" s="25"/>
      <c r="AI18" s="25"/>
      <c r="AJ18" s="25"/>
      <c r="AK18" s="25"/>
      <c r="AL18" s="25">
        <f t="shared" si="0"/>
        <v>137215514</v>
      </c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>
        <f>92000</f>
        <v>92000</v>
      </c>
      <c r="BA18" s="25"/>
      <c r="BB18" s="25"/>
      <c r="BC18" s="25"/>
      <c r="BD18" s="25"/>
      <c r="BE18" s="25">
        <v>686380</v>
      </c>
      <c r="BF18" s="25"/>
      <c r="BG18" s="25"/>
      <c r="BH18" s="25"/>
      <c r="BI18" s="25"/>
      <c r="BJ18" s="25"/>
      <c r="BK18" s="25"/>
      <c r="BL18" s="25">
        <f t="shared" si="1"/>
        <v>778380</v>
      </c>
    </row>
    <row r="19" spans="1:64" ht="74.25" customHeight="1">
      <c r="A19" s="22" t="s">
        <v>36</v>
      </c>
      <c r="B19" s="23" t="s">
        <v>74</v>
      </c>
      <c r="C19" s="24"/>
      <c r="D19" s="24">
        <v>22966300</v>
      </c>
      <c r="E19" s="24">
        <f>636462000-29501900+1440700</f>
        <v>608400800</v>
      </c>
      <c r="F19" s="24">
        <f>750189900-165868600-10000000-45000000+50500000+55261800-23412700</f>
        <v>611670400</v>
      </c>
      <c r="G19" s="25">
        <f>839800+133100+402600</f>
        <v>1375500</v>
      </c>
      <c r="H19" s="25">
        <v>8279638</v>
      </c>
      <c r="I19" s="25">
        <v>1222563</v>
      </c>
      <c r="J19" s="25"/>
      <c r="K19" s="25"/>
      <c r="L19" s="25"/>
      <c r="M19" s="25">
        <v>986820</v>
      </c>
      <c r="N19" s="25">
        <v>5770500</v>
      </c>
      <c r="O19" s="25">
        <v>32800</v>
      </c>
      <c r="P19" s="25"/>
      <c r="Q19" s="25"/>
      <c r="R19" s="25"/>
      <c r="S19" s="25"/>
      <c r="T19" s="25"/>
      <c r="U19" s="25"/>
      <c r="V19" s="25">
        <v>0</v>
      </c>
      <c r="W19" s="25">
        <f>2436525-1705569+4831400+67694+76570+34586+4837200</f>
        <v>10578406</v>
      </c>
      <c r="X19" s="25">
        <f>60000-25000</f>
        <v>35000</v>
      </c>
      <c r="Y19" s="25"/>
      <c r="Z19" s="25"/>
      <c r="AA19" s="25">
        <f>90900-90900</f>
        <v>0</v>
      </c>
      <c r="AB19" s="25"/>
      <c r="AC19" s="25">
        <f>3000000-3000000+10000000</f>
        <v>10000000</v>
      </c>
      <c r="AD19" s="25">
        <v>25000</v>
      </c>
      <c r="AE19" s="25">
        <f>2436525+1705569-67694-76570-34586</f>
        <v>3963244</v>
      </c>
      <c r="AF19" s="25"/>
      <c r="AG19" s="25"/>
      <c r="AH19" s="25"/>
      <c r="AI19" s="25"/>
      <c r="AJ19" s="25"/>
      <c r="AK19" s="25"/>
      <c r="AL19" s="25">
        <f t="shared" si="0"/>
        <v>1285274171</v>
      </c>
      <c r="AM19" s="25"/>
      <c r="AN19" s="25"/>
      <c r="AO19" s="25"/>
      <c r="AP19" s="25">
        <f>5093147.51+8602753</f>
        <v>13695900.51</v>
      </c>
      <c r="AQ19" s="25"/>
      <c r="AR19" s="25"/>
      <c r="AS19" s="25"/>
      <c r="AT19" s="25">
        <v>2504261</v>
      </c>
      <c r="AU19" s="25"/>
      <c r="AV19" s="25"/>
      <c r="AW19" s="25"/>
      <c r="AX19" s="25"/>
      <c r="AY19" s="25"/>
      <c r="AZ19" s="25">
        <f>100000+500000</f>
        <v>600000</v>
      </c>
      <c r="BA19" s="25"/>
      <c r="BB19" s="25"/>
      <c r="BC19" s="25"/>
      <c r="BD19" s="25"/>
      <c r="BE19" s="25"/>
      <c r="BF19" s="25"/>
      <c r="BG19" s="25">
        <v>3511780</v>
      </c>
      <c r="BH19" s="25">
        <v>654917</v>
      </c>
      <c r="BI19" s="25"/>
      <c r="BJ19" s="25"/>
      <c r="BK19" s="25"/>
      <c r="BL19" s="25">
        <f t="shared" si="1"/>
        <v>20966858.509999998</v>
      </c>
    </row>
    <row r="20" spans="1:64" ht="74.25" customHeight="1">
      <c r="A20" s="22" t="s">
        <v>37</v>
      </c>
      <c r="B20" s="23" t="s">
        <v>75</v>
      </c>
      <c r="C20" s="24"/>
      <c r="D20" s="24">
        <f>158300+1900000</f>
        <v>2058300</v>
      </c>
      <c r="E20" s="24">
        <f>54989600-2282000+125100</f>
        <v>52832700</v>
      </c>
      <c r="F20" s="24">
        <f>67826400-11447700-16000000+15367000+11200000-328600-2879700</f>
        <v>63737400</v>
      </c>
      <c r="G20" s="24">
        <f>32100+14200+36000+44700</f>
        <v>127000</v>
      </c>
      <c r="H20" s="25">
        <v>3590659</v>
      </c>
      <c r="I20" s="25">
        <v>87195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>
        <f>5120300+12000000</f>
        <v>17120300</v>
      </c>
      <c r="W20" s="25">
        <f>108260+183200-83260+333600</f>
        <v>541800</v>
      </c>
      <c r="X20" s="25">
        <v>107800</v>
      </c>
      <c r="Y20" s="25">
        <f>49500+9371</f>
        <v>58871</v>
      </c>
      <c r="Z20" s="25">
        <v>2100000</v>
      </c>
      <c r="AA20" s="25">
        <f>2000+2000</f>
        <v>4000</v>
      </c>
      <c r="AB20" s="25"/>
      <c r="AC20" s="25"/>
      <c r="AD20" s="25"/>
      <c r="AE20" s="25">
        <f>108260+83260</f>
        <v>191520</v>
      </c>
      <c r="AF20" s="25">
        <f>25100-9371</f>
        <v>15729</v>
      </c>
      <c r="AG20" s="25"/>
      <c r="AH20" s="25"/>
      <c r="AI20" s="25"/>
      <c r="AJ20" s="25"/>
      <c r="AK20" s="25"/>
      <c r="AL20" s="25">
        <f t="shared" si="0"/>
        <v>142573274</v>
      </c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>
        <v>20000</v>
      </c>
      <c r="BB20" s="25"/>
      <c r="BC20" s="25"/>
      <c r="BD20" s="25"/>
      <c r="BE20" s="25">
        <f>401032+2337000</f>
        <v>2738032</v>
      </c>
      <c r="BF20" s="25"/>
      <c r="BG20" s="25"/>
      <c r="BH20" s="25"/>
      <c r="BI20" s="25"/>
      <c r="BJ20" s="25"/>
      <c r="BK20" s="25"/>
      <c r="BL20" s="25">
        <f t="shared" si="1"/>
        <v>2758032</v>
      </c>
    </row>
    <row r="21" spans="1:64" ht="74.25" customHeight="1">
      <c r="A21" s="22" t="s">
        <v>38</v>
      </c>
      <c r="B21" s="23" t="s">
        <v>76</v>
      </c>
      <c r="C21" s="24"/>
      <c r="D21" s="24">
        <v>3174700</v>
      </c>
      <c r="E21" s="24">
        <f>133991600-5647000+304600</f>
        <v>128649200</v>
      </c>
      <c r="F21" s="24">
        <f>124422300-7940200+10242800+9500000+965500+260000-800</f>
        <v>137449600</v>
      </c>
      <c r="G21" s="24">
        <f>32300+6200+36100+23100</f>
        <v>97700</v>
      </c>
      <c r="H21" s="25">
        <f>2494803+925000</f>
        <v>3419803</v>
      </c>
      <c r="I21" s="25">
        <v>231497</v>
      </c>
      <c r="J21" s="25"/>
      <c r="K21" s="25"/>
      <c r="L21" s="25">
        <f>5056800-5056800</f>
        <v>0</v>
      </c>
      <c r="M21" s="25"/>
      <c r="N21" s="25"/>
      <c r="O21" s="25"/>
      <c r="P21" s="25"/>
      <c r="Q21" s="25"/>
      <c r="R21" s="25"/>
      <c r="S21" s="25"/>
      <c r="T21" s="25"/>
      <c r="U21" s="25"/>
      <c r="V21" s="25">
        <f>14100000</f>
        <v>14100000</v>
      </c>
      <c r="W21" s="25">
        <f>291560+25000+587800+550400</f>
        <v>1454760</v>
      </c>
      <c r="X21" s="25">
        <v>456000</v>
      </c>
      <c r="Y21" s="25"/>
      <c r="Z21" s="25"/>
      <c r="AA21" s="25">
        <v>163300</v>
      </c>
      <c r="AB21" s="25"/>
      <c r="AC21" s="25"/>
      <c r="AD21" s="25"/>
      <c r="AE21" s="25">
        <v>291560</v>
      </c>
      <c r="AF21" s="25"/>
      <c r="AG21" s="25"/>
      <c r="AH21" s="25"/>
      <c r="AI21" s="25"/>
      <c r="AJ21" s="25"/>
      <c r="AK21" s="25">
        <v>10258200</v>
      </c>
      <c r="AL21" s="25">
        <f t="shared" si="0"/>
        <v>299746320</v>
      </c>
      <c r="AM21" s="25"/>
      <c r="AN21" s="25"/>
      <c r="AO21" s="25"/>
      <c r="AP21" s="25">
        <f>4249000</f>
        <v>4249000</v>
      </c>
      <c r="AQ21" s="25"/>
      <c r="AR21" s="25"/>
      <c r="AS21" s="25"/>
      <c r="AT21" s="25"/>
      <c r="AU21" s="25"/>
      <c r="AV21" s="25"/>
      <c r="AW21" s="25"/>
      <c r="AX21" s="25"/>
      <c r="AY21" s="25"/>
      <c r="AZ21" s="25">
        <v>210000</v>
      </c>
      <c r="BA21" s="25"/>
      <c r="BB21" s="25"/>
      <c r="BC21" s="25"/>
      <c r="BD21" s="25"/>
      <c r="BE21" s="25">
        <v>5608650</v>
      </c>
      <c r="BF21" s="25"/>
      <c r="BG21" s="25"/>
      <c r="BH21" s="25"/>
      <c r="BI21" s="25"/>
      <c r="BJ21" s="25"/>
      <c r="BK21" s="25"/>
      <c r="BL21" s="25">
        <f t="shared" si="1"/>
        <v>10067650</v>
      </c>
    </row>
    <row r="22" spans="1:64" ht="74.25" customHeight="1">
      <c r="A22" s="22" t="s">
        <v>39</v>
      </c>
      <c r="B22" s="23" t="s">
        <v>77</v>
      </c>
      <c r="C22" s="24"/>
      <c r="D22" s="24">
        <v>793200</v>
      </c>
      <c r="E22" s="24">
        <f>81124100-3726200+183700</f>
        <v>77581600</v>
      </c>
      <c r="F22" s="24">
        <f>82169300-1168400-3000000+12000000-7959800+23000-700</f>
        <v>82063400</v>
      </c>
      <c r="G22" s="24">
        <f>71200+18900+8300</f>
        <v>98400</v>
      </c>
      <c r="H22" s="25">
        <v>1279404</v>
      </c>
      <c r="I22" s="25">
        <v>135226</v>
      </c>
      <c r="J22" s="25"/>
      <c r="K22" s="25"/>
      <c r="L22" s="25"/>
      <c r="M22" s="25">
        <v>422090</v>
      </c>
      <c r="N22" s="25"/>
      <c r="O22" s="25"/>
      <c r="P22" s="25"/>
      <c r="Q22" s="25"/>
      <c r="R22" s="25"/>
      <c r="S22" s="25"/>
      <c r="T22" s="25"/>
      <c r="U22" s="25"/>
      <c r="V22" s="25">
        <f>9925900</f>
        <v>9925900</v>
      </c>
      <c r="W22" s="25">
        <f>263775+499800+500400</f>
        <v>1263975</v>
      </c>
      <c r="X22" s="25"/>
      <c r="Y22" s="25"/>
      <c r="Z22" s="25"/>
      <c r="AA22" s="25">
        <f>7900-7900</f>
        <v>0</v>
      </c>
      <c r="AB22" s="25"/>
      <c r="AC22" s="25"/>
      <c r="AD22" s="25"/>
      <c r="AE22" s="25">
        <v>263775</v>
      </c>
      <c r="AF22" s="25"/>
      <c r="AG22" s="25"/>
      <c r="AH22" s="25"/>
      <c r="AI22" s="25"/>
      <c r="AJ22" s="25"/>
      <c r="AK22" s="25"/>
      <c r="AL22" s="25">
        <f t="shared" si="0"/>
        <v>173826970</v>
      </c>
      <c r="AM22" s="25"/>
      <c r="AN22" s="25"/>
      <c r="AO22" s="25"/>
      <c r="AP22" s="25">
        <f>100000+373115</f>
        <v>473115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>
        <v>143000</v>
      </c>
      <c r="BB22" s="25"/>
      <c r="BC22" s="25"/>
      <c r="BD22" s="25"/>
      <c r="BE22" s="25">
        <f>1974709.96</f>
        <v>1974709.96</v>
      </c>
      <c r="BF22" s="25"/>
      <c r="BG22" s="25"/>
      <c r="BH22" s="25"/>
      <c r="BI22" s="25"/>
      <c r="BJ22" s="25"/>
      <c r="BK22" s="25"/>
      <c r="BL22" s="25">
        <f t="shared" si="1"/>
        <v>2590824.96</v>
      </c>
    </row>
    <row r="23" spans="1:64" ht="74.25" customHeight="1">
      <c r="A23" s="22" t="s">
        <v>40</v>
      </c>
      <c r="B23" s="23" t="s">
        <v>158</v>
      </c>
      <c r="C23" s="24"/>
      <c r="D23" s="24">
        <v>1236900</v>
      </c>
      <c r="E23" s="24">
        <f>43316300-2008800+98000</f>
        <v>41405500</v>
      </c>
      <c r="F23" s="24">
        <f>62217000-18010900-5000000+3745400+4200000+3333800-962800</f>
        <v>49522500</v>
      </c>
      <c r="G23" s="24">
        <f>75600+15100+16800+57800</f>
        <v>165300</v>
      </c>
      <c r="H23" s="25">
        <v>899716</v>
      </c>
      <c r="I23" s="25">
        <v>68920</v>
      </c>
      <c r="J23" s="25"/>
      <c r="K23" s="25"/>
      <c r="L23" s="25">
        <f>2000000</f>
        <v>2000000</v>
      </c>
      <c r="M23" s="25"/>
      <c r="N23" s="25"/>
      <c r="O23" s="25"/>
      <c r="P23" s="25"/>
      <c r="Q23" s="25"/>
      <c r="R23" s="25"/>
      <c r="S23" s="25"/>
      <c r="T23" s="25"/>
      <c r="U23" s="25"/>
      <c r="V23" s="25">
        <f>3062000-3062000+12000000+3500000+8000000</f>
        <v>23500000</v>
      </c>
      <c r="W23" s="25">
        <f>206560-10040+417800+443200</f>
        <v>1057520</v>
      </c>
      <c r="X23" s="25"/>
      <c r="Y23" s="25"/>
      <c r="Z23" s="25"/>
      <c r="AA23" s="25"/>
      <c r="AB23" s="25"/>
      <c r="AC23" s="25"/>
      <c r="AD23" s="25"/>
      <c r="AE23" s="25">
        <f>206560+10040</f>
        <v>216600</v>
      </c>
      <c r="AF23" s="25"/>
      <c r="AG23" s="25"/>
      <c r="AH23" s="25"/>
      <c r="AI23" s="25"/>
      <c r="AJ23" s="25"/>
      <c r="AK23" s="25">
        <v>5998800</v>
      </c>
      <c r="AL23" s="25">
        <f t="shared" si="0"/>
        <v>126071756</v>
      </c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>
        <v>85000</v>
      </c>
      <c r="BA23" s="25"/>
      <c r="BB23" s="25"/>
      <c r="BC23" s="25"/>
      <c r="BD23" s="25"/>
      <c r="BE23" s="25">
        <v>984490</v>
      </c>
      <c r="BF23" s="25"/>
      <c r="BG23" s="25"/>
      <c r="BH23" s="25"/>
      <c r="BI23" s="25"/>
      <c r="BJ23" s="25">
        <v>8000000</v>
      </c>
      <c r="BK23" s="25"/>
      <c r="BL23" s="25">
        <f t="shared" si="1"/>
        <v>9069490</v>
      </c>
    </row>
    <row r="24" spans="1:64" ht="74.25" customHeight="1">
      <c r="A24" s="22" t="s">
        <v>41</v>
      </c>
      <c r="B24" s="23" t="s">
        <v>78</v>
      </c>
      <c r="C24" s="24"/>
      <c r="D24" s="24">
        <v>1798300</v>
      </c>
      <c r="E24" s="24">
        <f>117801500-4381600+269200-1800000</f>
        <v>111889100</v>
      </c>
      <c r="F24" s="24">
        <f>137028800-27771500-14000000+17000000+6395600-1075600</f>
        <v>117577300</v>
      </c>
      <c r="G24" s="24">
        <f>240400+22100+112400</f>
        <v>374900</v>
      </c>
      <c r="H24" s="25">
        <v>1940352</v>
      </c>
      <c r="I24" s="25">
        <v>221420</v>
      </c>
      <c r="J24" s="25"/>
      <c r="K24" s="25"/>
      <c r="L24" s="25"/>
      <c r="M24" s="25">
        <v>1752663</v>
      </c>
      <c r="N24" s="25"/>
      <c r="O24" s="25"/>
      <c r="P24" s="25"/>
      <c r="Q24" s="25"/>
      <c r="R24" s="25"/>
      <c r="S24" s="25"/>
      <c r="T24" s="25"/>
      <c r="U24" s="25"/>
      <c r="V24" s="25">
        <v>0</v>
      </c>
      <c r="W24" s="25">
        <f>433160+949600+1050800</f>
        <v>2433560</v>
      </c>
      <c r="X24" s="25">
        <v>66362</v>
      </c>
      <c r="Y24" s="25"/>
      <c r="Z24" s="25"/>
      <c r="AA24" s="25">
        <f>67300-58000</f>
        <v>9300</v>
      </c>
      <c r="AB24" s="25"/>
      <c r="AC24" s="25"/>
      <c r="AD24" s="25"/>
      <c r="AE24" s="25">
        <v>433160</v>
      </c>
      <c r="AF24" s="25"/>
      <c r="AG24" s="25"/>
      <c r="AH24" s="25"/>
      <c r="AI24" s="25"/>
      <c r="AJ24" s="25"/>
      <c r="AK24" s="25"/>
      <c r="AL24" s="25">
        <f t="shared" si="0"/>
        <v>238496417</v>
      </c>
      <c r="AM24" s="25"/>
      <c r="AN24" s="25"/>
      <c r="AO24" s="25">
        <v>50000</v>
      </c>
      <c r="AP24" s="25"/>
      <c r="AQ24" s="25"/>
      <c r="AR24" s="25"/>
      <c r="AS24" s="25"/>
      <c r="AT24" s="25"/>
      <c r="AU24" s="25"/>
      <c r="AV24" s="25">
        <f>1891910</f>
        <v>1891910</v>
      </c>
      <c r="AW24" s="25"/>
      <c r="AX24" s="25"/>
      <c r="AY24" s="25"/>
      <c r="AZ24" s="25">
        <v>218000</v>
      </c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>
        <f t="shared" si="1"/>
        <v>2159910</v>
      </c>
    </row>
    <row r="25" spans="1:64" ht="74.25" customHeight="1">
      <c r="A25" s="22" t="s">
        <v>42</v>
      </c>
      <c r="B25" s="23" t="s">
        <v>79</v>
      </c>
      <c r="C25" s="24"/>
      <c r="D25" s="24">
        <v>535700</v>
      </c>
      <c r="E25" s="24">
        <f>28641600-1174400+65200</f>
        <v>27532400</v>
      </c>
      <c r="F25" s="24">
        <f>24249600-9118100-6000000-1200000+800000+1558800+127000-800</f>
        <v>10416500</v>
      </c>
      <c r="G25" s="24">
        <v>0</v>
      </c>
      <c r="H25" s="25">
        <v>1630162</v>
      </c>
      <c r="I25" s="25">
        <v>62685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>
        <v>0</v>
      </c>
      <c r="W25" s="25">
        <f>183260+249900-66600+250300</f>
        <v>616860</v>
      </c>
      <c r="X25" s="25"/>
      <c r="Y25" s="25"/>
      <c r="Z25" s="25"/>
      <c r="AA25" s="25"/>
      <c r="AB25" s="25"/>
      <c r="AC25" s="25"/>
      <c r="AD25" s="25"/>
      <c r="AE25" s="25">
        <v>183260</v>
      </c>
      <c r="AF25" s="25"/>
      <c r="AG25" s="25"/>
      <c r="AH25" s="25"/>
      <c r="AI25" s="25">
        <v>125192</v>
      </c>
      <c r="AJ25" s="25"/>
      <c r="AK25" s="25"/>
      <c r="AL25" s="25">
        <f t="shared" si="0"/>
        <v>41102759</v>
      </c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>
        <v>58000</v>
      </c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>
        <f t="shared" si="1"/>
        <v>58000</v>
      </c>
    </row>
    <row r="26" spans="1:64" ht="74.25" customHeight="1">
      <c r="A26" s="22" t="s">
        <v>43</v>
      </c>
      <c r="B26" s="23" t="s">
        <v>80</v>
      </c>
      <c r="C26" s="24"/>
      <c r="D26" s="24">
        <v>973100</v>
      </c>
      <c r="E26" s="24">
        <f>36600900-1498800+83300</f>
        <v>35185400</v>
      </c>
      <c r="F26" s="24">
        <f>61095700-13035900+5296400+2720400-7784700+118000-300</f>
        <v>48409600</v>
      </c>
      <c r="G26" s="24">
        <f>119900+38200+88700</f>
        <v>246800</v>
      </c>
      <c r="H26" s="25">
        <f>1072608+55000</f>
        <v>1127608</v>
      </c>
      <c r="I26" s="25">
        <v>64015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>
        <v>3065800</v>
      </c>
      <c r="W26" s="25">
        <f>145825+280000+206800</f>
        <v>632625</v>
      </c>
      <c r="X26" s="25"/>
      <c r="Y26" s="25"/>
      <c r="Z26" s="25"/>
      <c r="AA26" s="25">
        <v>6400</v>
      </c>
      <c r="AB26" s="25"/>
      <c r="AC26" s="25"/>
      <c r="AD26" s="25"/>
      <c r="AE26" s="25">
        <v>145825</v>
      </c>
      <c r="AF26" s="25"/>
      <c r="AG26" s="25"/>
      <c r="AH26" s="25"/>
      <c r="AI26" s="25"/>
      <c r="AJ26" s="25"/>
      <c r="AK26" s="25"/>
      <c r="AL26" s="25">
        <f t="shared" si="0"/>
        <v>89857173</v>
      </c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>
        <f>63000</f>
        <v>63000</v>
      </c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>
        <f t="shared" si="1"/>
        <v>63000</v>
      </c>
    </row>
    <row r="27" spans="1:64" ht="74.25" customHeight="1">
      <c r="A27" s="22" t="s">
        <v>44</v>
      </c>
      <c r="B27" s="23" t="s">
        <v>81</v>
      </c>
      <c r="C27" s="24"/>
      <c r="D27" s="24">
        <v>23900</v>
      </c>
      <c r="E27" s="24">
        <f>25915200-1185400+58700</f>
        <v>24788500</v>
      </c>
      <c r="F27" s="24">
        <f>18950600-7585600-4000000-500000+465500+2295500+4000</f>
        <v>9630000</v>
      </c>
      <c r="G27" s="24">
        <f>82000+6300+27500</f>
        <v>115800</v>
      </c>
      <c r="H27" s="25">
        <f>1351978+233000</f>
        <v>1584978</v>
      </c>
      <c r="I27" s="25">
        <v>69944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>
        <v>0</v>
      </c>
      <c r="W27" s="25">
        <f>99960+166600+16125+166800</f>
        <v>449485</v>
      </c>
      <c r="X27" s="25">
        <v>48000</v>
      </c>
      <c r="Y27" s="25"/>
      <c r="Z27" s="25"/>
      <c r="AA27" s="25">
        <v>10700</v>
      </c>
      <c r="AB27" s="25"/>
      <c r="AC27" s="25"/>
      <c r="AD27" s="25"/>
      <c r="AE27" s="25">
        <f>99960-16125</f>
        <v>83835</v>
      </c>
      <c r="AF27" s="25"/>
      <c r="AG27" s="25"/>
      <c r="AH27" s="25"/>
      <c r="AI27" s="25"/>
      <c r="AJ27" s="25"/>
      <c r="AK27" s="25">
        <f>1000000-1000000</f>
        <v>0</v>
      </c>
      <c r="AL27" s="25">
        <f t="shared" si="0"/>
        <v>36805142</v>
      </c>
      <c r="AM27" s="25"/>
      <c r="AN27" s="25"/>
      <c r="AO27" s="25"/>
      <c r="AP27" s="25">
        <v>1500000</v>
      </c>
      <c r="AQ27" s="25"/>
      <c r="AR27" s="25"/>
      <c r="AS27" s="25"/>
      <c r="AT27" s="25"/>
      <c r="AU27" s="25"/>
      <c r="AV27" s="25"/>
      <c r="AW27" s="25"/>
      <c r="AX27" s="25">
        <v>12050</v>
      </c>
      <c r="AY27" s="25"/>
      <c r="AZ27" s="25">
        <v>58000</v>
      </c>
      <c r="BA27" s="25"/>
      <c r="BB27" s="25"/>
      <c r="BC27" s="25"/>
      <c r="BD27" s="25"/>
      <c r="BE27" s="25">
        <f>457730</f>
        <v>457730</v>
      </c>
      <c r="BF27" s="25"/>
      <c r="BG27" s="25"/>
      <c r="BH27" s="25"/>
      <c r="BI27" s="25"/>
      <c r="BJ27" s="25"/>
      <c r="BK27" s="25"/>
      <c r="BL27" s="25">
        <f t="shared" si="1"/>
        <v>2027780</v>
      </c>
    </row>
    <row r="28" spans="1:64" ht="74.25" customHeight="1">
      <c r="A28" s="22"/>
      <c r="B28" s="23" t="s">
        <v>71</v>
      </c>
      <c r="C28" s="24">
        <f>C15+C16+C17+C18+C19+C20+C21+C22+C23+C24+C25+C26+C27</f>
        <v>0</v>
      </c>
      <c r="D28" s="24">
        <f>D15+D16+D17+D18+D19+D20+D21+D22+D23+D24+D25+D26+D27</f>
        <v>72025300</v>
      </c>
      <c r="E28" s="24">
        <f aca="true" t="shared" si="2" ref="E28:AK28">E15+E16+E17+E18+E19+E20+E21+E22+E23+E24+E25+E26+E27</f>
        <v>2248871100</v>
      </c>
      <c r="F28" s="24">
        <f t="shared" si="2"/>
        <v>1972803100</v>
      </c>
      <c r="G28" s="24">
        <f t="shared" si="2"/>
        <v>4069400</v>
      </c>
      <c r="H28" s="24">
        <f t="shared" si="2"/>
        <v>41360182</v>
      </c>
      <c r="I28" s="25">
        <f t="shared" si="2"/>
        <v>4429485</v>
      </c>
      <c r="J28" s="25">
        <f t="shared" si="2"/>
        <v>0</v>
      </c>
      <c r="K28" s="24">
        <f t="shared" si="2"/>
        <v>0</v>
      </c>
      <c r="L28" s="24">
        <f t="shared" si="2"/>
        <v>13650700</v>
      </c>
      <c r="M28" s="24">
        <f t="shared" si="2"/>
        <v>9968349</v>
      </c>
      <c r="N28" s="24">
        <f t="shared" si="2"/>
        <v>5770500</v>
      </c>
      <c r="O28" s="24">
        <f t="shared" si="2"/>
        <v>32800</v>
      </c>
      <c r="P28" s="24">
        <f t="shared" si="2"/>
        <v>0</v>
      </c>
      <c r="Q28" s="24"/>
      <c r="R28" s="24"/>
      <c r="S28" s="24">
        <f>S15+S16+S17+S18+S19+S20+S21+S22+S23+S24+S25+S26+S27</f>
        <v>0</v>
      </c>
      <c r="T28" s="24">
        <f t="shared" si="2"/>
        <v>0</v>
      </c>
      <c r="U28" s="24">
        <f t="shared" si="2"/>
        <v>0</v>
      </c>
      <c r="V28" s="24">
        <f t="shared" si="2"/>
        <v>92343200</v>
      </c>
      <c r="W28" s="24">
        <f t="shared" si="2"/>
        <v>33060258</v>
      </c>
      <c r="X28" s="24">
        <f t="shared" si="2"/>
        <v>1404890.06</v>
      </c>
      <c r="Y28" s="24">
        <f t="shared" si="2"/>
        <v>58871</v>
      </c>
      <c r="Z28" s="24">
        <f t="shared" si="2"/>
        <v>2100000</v>
      </c>
      <c r="AA28" s="24">
        <f t="shared" si="2"/>
        <v>205200</v>
      </c>
      <c r="AB28" s="24">
        <f t="shared" si="2"/>
        <v>0</v>
      </c>
      <c r="AC28" s="24">
        <f t="shared" si="2"/>
        <v>10000000</v>
      </c>
      <c r="AD28" s="24">
        <f t="shared" si="2"/>
        <v>25000</v>
      </c>
      <c r="AE28" s="24">
        <f t="shared" si="2"/>
        <v>7185332</v>
      </c>
      <c r="AF28" s="24">
        <f t="shared" si="2"/>
        <v>130729</v>
      </c>
      <c r="AG28" s="24">
        <f t="shared" si="2"/>
        <v>0</v>
      </c>
      <c r="AH28" s="24">
        <f t="shared" si="2"/>
        <v>0</v>
      </c>
      <c r="AI28" s="24">
        <f t="shared" si="2"/>
        <v>125192</v>
      </c>
      <c r="AJ28" s="24"/>
      <c r="AK28" s="24">
        <f t="shared" si="2"/>
        <v>29775000</v>
      </c>
      <c r="AL28" s="25">
        <f t="shared" si="0"/>
        <v>4549361788.06</v>
      </c>
      <c r="AM28" s="25"/>
      <c r="AN28" s="25"/>
      <c r="AO28" s="24">
        <f aca="true" t="shared" si="3" ref="AO28:BH28">AO15+AO16+AO17+AO18+AO19+AO20+AO21+AO22+AO23+AO24+AO25+AO26+AO27</f>
        <v>50000</v>
      </c>
      <c r="AP28" s="25">
        <f t="shared" si="3"/>
        <v>47418015.51</v>
      </c>
      <c r="AQ28" s="24">
        <f t="shared" si="3"/>
        <v>68900</v>
      </c>
      <c r="AR28" s="24">
        <f t="shared" si="3"/>
        <v>100000</v>
      </c>
      <c r="AS28" s="24">
        <f t="shared" si="3"/>
        <v>526932</v>
      </c>
      <c r="AT28" s="24">
        <f t="shared" si="3"/>
        <v>2504261</v>
      </c>
      <c r="AU28" s="24">
        <f t="shared" si="3"/>
        <v>650000</v>
      </c>
      <c r="AV28" s="24">
        <f t="shared" si="3"/>
        <v>1891910</v>
      </c>
      <c r="AW28" s="24">
        <f t="shared" si="3"/>
        <v>2150000</v>
      </c>
      <c r="AX28" s="24">
        <f t="shared" si="3"/>
        <v>12050</v>
      </c>
      <c r="AY28" s="24">
        <f>AY15+AY16+AY17+AY18+AY19+AY20+AY21+AY22+AY23+AY24+AY25+AY26+AY27</f>
        <v>0</v>
      </c>
      <c r="AZ28" s="24">
        <f t="shared" si="3"/>
        <v>1378000</v>
      </c>
      <c r="BA28" s="24">
        <f t="shared" si="3"/>
        <v>2198000</v>
      </c>
      <c r="BB28" s="24">
        <f t="shared" si="3"/>
        <v>553214</v>
      </c>
      <c r="BC28" s="24">
        <f t="shared" si="3"/>
        <v>728486</v>
      </c>
      <c r="BD28" s="24">
        <f t="shared" si="3"/>
        <v>1000000</v>
      </c>
      <c r="BE28" s="24">
        <f t="shared" si="3"/>
        <v>12843915.96</v>
      </c>
      <c r="BF28" s="24">
        <f>BF15+BF16+BF17+BF18+BF19+BF20+BF21+BF22+BF23+BF24+BF25+BF26+BF27</f>
        <v>0</v>
      </c>
      <c r="BG28" s="24">
        <f>BG15+BG16+BG17+BG18+BG19+BG20+BG21+BG22+BG23+BG24+BG25+BG26+BG27</f>
        <v>3511780</v>
      </c>
      <c r="BH28" s="24">
        <f t="shared" si="3"/>
        <v>1654917</v>
      </c>
      <c r="BI28" s="24"/>
      <c r="BJ28" s="24">
        <f>BJ15+BJ16+BJ17+BJ18+BJ19+BJ20+BJ21+BJ22+BJ23+BJ24+BJ25+BJ26+BJ27</f>
        <v>17900000</v>
      </c>
      <c r="BK28" s="24">
        <f>BK15+BK16+BK17+BK18+BK19+BK20+BK21+BK22+BK23+BK24+BK25+BK26+BK27</f>
        <v>9900000</v>
      </c>
      <c r="BL28" s="25">
        <f t="shared" si="1"/>
        <v>97140381.47</v>
      </c>
    </row>
    <row r="29" spans="1:64" ht="74.25" customHeight="1">
      <c r="A29" s="22" t="s">
        <v>45</v>
      </c>
      <c r="B29" s="23" t="s">
        <v>70</v>
      </c>
      <c r="C29" s="24"/>
      <c r="D29" s="24"/>
      <c r="E29" s="24">
        <f>71510300-2819200+163000</f>
        <v>68854100</v>
      </c>
      <c r="F29" s="24">
        <f>105100500-24293200+7614200+5248100-6610000-7127200</f>
        <v>79932400</v>
      </c>
      <c r="G29" s="24">
        <f>874700+225700+382200+239700</f>
        <v>1722300</v>
      </c>
      <c r="H29" s="25">
        <f>5584443-944000</f>
        <v>4640443</v>
      </c>
      <c r="I29" s="25"/>
      <c r="J29" s="25"/>
      <c r="K29" s="25"/>
      <c r="L29" s="25"/>
      <c r="M29" s="25">
        <v>657880</v>
      </c>
      <c r="N29" s="25"/>
      <c r="O29" s="25"/>
      <c r="P29" s="25"/>
      <c r="Q29" s="25"/>
      <c r="R29" s="25"/>
      <c r="S29" s="25"/>
      <c r="T29" s="25"/>
      <c r="U29" s="25"/>
      <c r="V29" s="25">
        <f>5741400-4000000</f>
        <v>1741400</v>
      </c>
      <c r="W29" s="25">
        <f>208260-4122-31239-31239+64450+24499+30000+200600</f>
        <v>461209</v>
      </c>
      <c r="X29" s="25"/>
      <c r="Y29" s="25"/>
      <c r="Z29" s="25"/>
      <c r="AA29" s="25">
        <f>77300-300</f>
        <v>77000</v>
      </c>
      <c r="AB29" s="25"/>
      <c r="AC29" s="25"/>
      <c r="AD29" s="25"/>
      <c r="AE29" s="25">
        <f>208260-37522-31239-31239-24499-30000</f>
        <v>53761</v>
      </c>
      <c r="AF29" s="25"/>
      <c r="AG29" s="25">
        <f>150000-150000</f>
        <v>0</v>
      </c>
      <c r="AH29" s="25"/>
      <c r="AI29" s="25"/>
      <c r="AJ29" s="25"/>
      <c r="AK29" s="25"/>
      <c r="AL29" s="25">
        <f t="shared" si="0"/>
        <v>158140493</v>
      </c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>
        <v>112000</v>
      </c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>
        <f t="shared" si="1"/>
        <v>112000</v>
      </c>
    </row>
    <row r="30" spans="1:64" ht="74.25" customHeight="1">
      <c r="A30" s="22" t="s">
        <v>46</v>
      </c>
      <c r="B30" s="23" t="s">
        <v>82</v>
      </c>
      <c r="C30" s="24"/>
      <c r="D30" s="24"/>
      <c r="E30" s="24">
        <f>51270300-2371300+116100</f>
        <v>49015100</v>
      </c>
      <c r="F30" s="24">
        <f>53114700-11761800+7164100+3700000-10787700+49000-600</f>
        <v>41477700</v>
      </c>
      <c r="G30" s="24">
        <f>796900+112700+302000</f>
        <v>1211600</v>
      </c>
      <c r="H30" s="25">
        <f>1866433-255000</f>
        <v>1611433</v>
      </c>
      <c r="I30" s="25">
        <v>56341</v>
      </c>
      <c r="J30" s="25">
        <v>2944858</v>
      </c>
      <c r="K30" s="25"/>
      <c r="L30" s="25"/>
      <c r="M30" s="25"/>
      <c r="N30" s="25">
        <v>227800</v>
      </c>
      <c r="O30" s="25">
        <v>800</v>
      </c>
      <c r="P30" s="25"/>
      <c r="Q30" s="25"/>
      <c r="R30" s="25"/>
      <c r="S30" s="25"/>
      <c r="T30" s="25"/>
      <c r="U30" s="25"/>
      <c r="V30" s="25">
        <v>5089800</v>
      </c>
      <c r="W30" s="25">
        <f>70825+166600+166800</f>
        <v>404225</v>
      </c>
      <c r="X30" s="25"/>
      <c r="Y30" s="25"/>
      <c r="Z30" s="25"/>
      <c r="AA30" s="25">
        <f>95200+35000</f>
        <v>130200</v>
      </c>
      <c r="AB30" s="25"/>
      <c r="AC30" s="25"/>
      <c r="AD30" s="25"/>
      <c r="AE30" s="25">
        <v>70825</v>
      </c>
      <c r="AF30" s="25">
        <v>250000</v>
      </c>
      <c r="AG30" s="25"/>
      <c r="AH30" s="25"/>
      <c r="AI30" s="25"/>
      <c r="AJ30" s="25">
        <v>131502</v>
      </c>
      <c r="AK30" s="25">
        <v>500000</v>
      </c>
      <c r="AL30" s="25">
        <f t="shared" si="0"/>
        <v>103121384</v>
      </c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>
        <f>66000</f>
        <v>66000</v>
      </c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>
        <f t="shared" si="1"/>
        <v>66000</v>
      </c>
    </row>
    <row r="31" spans="1:64" ht="74.25" customHeight="1">
      <c r="A31" s="22" t="s">
        <v>47</v>
      </c>
      <c r="B31" s="23" t="s">
        <v>83</v>
      </c>
      <c r="C31" s="24"/>
      <c r="D31" s="24"/>
      <c r="E31" s="24">
        <f>77915700-2826800+178200</f>
        <v>75267100</v>
      </c>
      <c r="F31" s="24">
        <f>52566200-4136900+11000000+6500000-2090200-2389100</f>
        <v>61450000</v>
      </c>
      <c r="G31" s="24">
        <f>721400+134700+556700+721100</f>
        <v>2133900</v>
      </c>
      <c r="H31" s="25">
        <f>6134808+80000</f>
        <v>6214808</v>
      </c>
      <c r="I31" s="25">
        <v>98358</v>
      </c>
      <c r="J31" s="25">
        <v>1472429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>
        <f>6015100+2530100</f>
        <v>8545200</v>
      </c>
      <c r="W31" s="25">
        <f>99960+180000+246600+125000+166800</f>
        <v>818360</v>
      </c>
      <c r="X31" s="25"/>
      <c r="Y31" s="25">
        <v>148500</v>
      </c>
      <c r="Z31" s="25"/>
      <c r="AA31" s="25">
        <v>111700</v>
      </c>
      <c r="AB31" s="25"/>
      <c r="AC31" s="25">
        <f>2681400-350000-77484</f>
        <v>2253916</v>
      </c>
      <c r="AD31" s="25"/>
      <c r="AE31" s="25">
        <v>99960</v>
      </c>
      <c r="AF31" s="25">
        <v>22000</v>
      </c>
      <c r="AG31" s="25">
        <v>150000</v>
      </c>
      <c r="AH31" s="25"/>
      <c r="AI31" s="25"/>
      <c r="AJ31" s="25">
        <v>118978</v>
      </c>
      <c r="AK31" s="25"/>
      <c r="AL31" s="25">
        <f t="shared" si="0"/>
        <v>158905209</v>
      </c>
      <c r="AM31" s="25">
        <f>750000+5000</f>
        <v>755000</v>
      </c>
      <c r="AN31" s="25"/>
      <c r="AO31" s="25"/>
      <c r="AP31" s="25">
        <f>475588</f>
        <v>475588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>
        <v>10000</v>
      </c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>
        <f t="shared" si="1"/>
        <v>1240588</v>
      </c>
    </row>
    <row r="32" spans="1:64" ht="74.25" customHeight="1">
      <c r="A32" s="22" t="s">
        <v>48</v>
      </c>
      <c r="B32" s="23" t="s">
        <v>170</v>
      </c>
      <c r="C32" s="24"/>
      <c r="D32" s="24"/>
      <c r="E32" s="24">
        <f>84068600-2472800+193700</f>
        <v>81789500</v>
      </c>
      <c r="F32" s="24">
        <f>51869000-7306300+8358600+8400000-10372000-2813900</f>
        <v>48135400</v>
      </c>
      <c r="G32" s="24">
        <f>641700+67800+325000</f>
        <v>1034500</v>
      </c>
      <c r="H32" s="25">
        <f>2387953-250000</f>
        <v>2137953</v>
      </c>
      <c r="I32" s="25">
        <v>83719</v>
      </c>
      <c r="J32" s="25"/>
      <c r="K32" s="25"/>
      <c r="L32" s="25">
        <f>1457130</f>
        <v>1457130</v>
      </c>
      <c r="M32" s="25"/>
      <c r="N32" s="25"/>
      <c r="O32" s="25"/>
      <c r="P32" s="25"/>
      <c r="Q32" s="25"/>
      <c r="R32" s="25"/>
      <c r="S32" s="25"/>
      <c r="T32" s="25"/>
      <c r="U32" s="25"/>
      <c r="V32" s="25">
        <v>0</v>
      </c>
      <c r="W32" s="25">
        <f>187425+25000+449800+3000+540400</f>
        <v>1205625</v>
      </c>
      <c r="X32" s="25"/>
      <c r="Y32" s="25">
        <v>235000</v>
      </c>
      <c r="Z32" s="25"/>
      <c r="AA32" s="25">
        <v>132600</v>
      </c>
      <c r="AB32" s="25"/>
      <c r="AC32" s="25"/>
      <c r="AD32" s="25"/>
      <c r="AE32" s="25">
        <f>270725-50000-33300</f>
        <v>187425</v>
      </c>
      <c r="AF32" s="25"/>
      <c r="AG32" s="25"/>
      <c r="AH32" s="25"/>
      <c r="AI32" s="25"/>
      <c r="AJ32" s="25">
        <v>112716</v>
      </c>
      <c r="AK32" s="25"/>
      <c r="AL32" s="25">
        <f t="shared" si="0"/>
        <v>136511568</v>
      </c>
      <c r="AM32" s="25"/>
      <c r="AN32" s="25"/>
      <c r="AO32" s="25"/>
      <c r="AP32" s="25">
        <v>285000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>
        <f>25000+50000</f>
        <v>75000</v>
      </c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>
        <f t="shared" si="1"/>
        <v>360000</v>
      </c>
    </row>
    <row r="33" spans="1:64" ht="74.25" customHeight="1">
      <c r="A33" s="22" t="s">
        <v>49</v>
      </c>
      <c r="B33" s="23" t="s">
        <v>84</v>
      </c>
      <c r="C33" s="24"/>
      <c r="D33" s="24"/>
      <c r="E33" s="24">
        <f>49291000-2002900+112200</f>
        <v>47400300</v>
      </c>
      <c r="F33" s="24">
        <f>30556000-3084800+8874500+9400000-3018500-4165600</f>
        <v>38561600</v>
      </c>
      <c r="G33" s="24">
        <f>578900+159600+296200</f>
        <v>1034700</v>
      </c>
      <c r="H33" s="25">
        <v>1141737</v>
      </c>
      <c r="I33" s="25">
        <v>63088</v>
      </c>
      <c r="J33" s="25"/>
      <c r="K33" s="25"/>
      <c r="L33" s="25"/>
      <c r="M33" s="25">
        <v>508460</v>
      </c>
      <c r="N33" s="25"/>
      <c r="O33" s="25"/>
      <c r="P33" s="25"/>
      <c r="Q33" s="25"/>
      <c r="R33" s="25"/>
      <c r="S33" s="25"/>
      <c r="T33" s="25"/>
      <c r="U33" s="25"/>
      <c r="V33" s="26">
        <v>5407200</v>
      </c>
      <c r="W33" s="26">
        <f>208250+419800+390400+31150</f>
        <v>1049600</v>
      </c>
      <c r="X33" s="26"/>
      <c r="Y33" s="26"/>
      <c r="Z33" s="26"/>
      <c r="AA33" s="26">
        <v>143900</v>
      </c>
      <c r="AB33" s="26"/>
      <c r="AC33" s="25">
        <f>546200-546200</f>
        <v>0</v>
      </c>
      <c r="AD33" s="25"/>
      <c r="AE33" s="25">
        <f>208250-31150</f>
        <v>177100</v>
      </c>
      <c r="AF33" s="25">
        <v>140000</v>
      </c>
      <c r="AG33" s="25">
        <v>150000</v>
      </c>
      <c r="AH33" s="25"/>
      <c r="AI33" s="26"/>
      <c r="AJ33" s="26">
        <v>131502</v>
      </c>
      <c r="AK33" s="26"/>
      <c r="AL33" s="25">
        <f t="shared" si="0"/>
        <v>95909187</v>
      </c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>
        <v>90000</v>
      </c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>
        <f t="shared" si="1"/>
        <v>90000</v>
      </c>
    </row>
    <row r="34" spans="1:64" ht="74.25" customHeight="1">
      <c r="A34" s="22" t="s">
        <v>50</v>
      </c>
      <c r="B34" s="23" t="s">
        <v>85</v>
      </c>
      <c r="C34" s="24"/>
      <c r="D34" s="24"/>
      <c r="E34" s="24">
        <f>48312300-1762000+110500+400000</f>
        <v>47060800</v>
      </c>
      <c r="F34" s="24">
        <f>37987500+1699600-9500000+18430200+14700000-12729200+1700</f>
        <v>50589800</v>
      </c>
      <c r="G34" s="24">
        <f>119400+602400+382800</f>
        <v>1104600</v>
      </c>
      <c r="H34" s="25">
        <f>3041634-250000</f>
        <v>2791634</v>
      </c>
      <c r="I34" s="25">
        <v>62003</v>
      </c>
      <c r="J34" s="25"/>
      <c r="K34" s="25"/>
      <c r="L34" s="25">
        <f>2800846</f>
        <v>2800846</v>
      </c>
      <c r="M34" s="25">
        <f>508460</f>
        <v>508460</v>
      </c>
      <c r="N34" s="25">
        <v>430200</v>
      </c>
      <c r="O34" s="25">
        <v>900</v>
      </c>
      <c r="P34" s="25"/>
      <c r="Q34" s="25"/>
      <c r="R34" s="25"/>
      <c r="S34" s="25"/>
      <c r="T34" s="25"/>
      <c r="U34" s="25"/>
      <c r="V34" s="26">
        <v>4372900</v>
      </c>
      <c r="W34" s="26">
        <f>99960+166600+196800</f>
        <v>463360</v>
      </c>
      <c r="X34" s="26"/>
      <c r="Y34" s="26"/>
      <c r="Z34" s="26"/>
      <c r="AA34" s="26">
        <v>102400</v>
      </c>
      <c r="AB34" s="26">
        <f>102246</f>
        <v>102246</v>
      </c>
      <c r="AC34" s="25"/>
      <c r="AD34" s="25"/>
      <c r="AE34" s="25">
        <v>99960</v>
      </c>
      <c r="AF34" s="25">
        <v>112000</v>
      </c>
      <c r="AG34" s="25"/>
      <c r="AH34" s="25"/>
      <c r="AI34" s="26"/>
      <c r="AJ34" s="26">
        <v>137764</v>
      </c>
      <c r="AK34" s="26">
        <f>500000-500000</f>
        <v>0</v>
      </c>
      <c r="AL34" s="25">
        <f t="shared" si="0"/>
        <v>110738973</v>
      </c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>
        <f>10000+61000</f>
        <v>71000</v>
      </c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>
        <f t="shared" si="1"/>
        <v>71000</v>
      </c>
    </row>
    <row r="35" spans="1:64" ht="74.25" customHeight="1">
      <c r="A35" s="22" t="s">
        <v>51</v>
      </c>
      <c r="B35" s="23" t="s">
        <v>86</v>
      </c>
      <c r="C35" s="24"/>
      <c r="D35" s="24"/>
      <c r="E35" s="24">
        <f>41438000-1552400+94700+400000</f>
        <v>40380300</v>
      </c>
      <c r="F35" s="24">
        <f>49459600-2682100+1500000+7200000-13337300+25000-800</f>
        <v>42164400</v>
      </c>
      <c r="G35" s="24">
        <f>421400+164900+82200</f>
        <v>668500</v>
      </c>
      <c r="H35" s="25">
        <v>1651018</v>
      </c>
      <c r="I35" s="25">
        <v>59245</v>
      </c>
      <c r="J35" s="25"/>
      <c r="K35" s="25"/>
      <c r="L35" s="25"/>
      <c r="M35" s="25">
        <v>744250</v>
      </c>
      <c r="N35" s="25"/>
      <c r="O35" s="25"/>
      <c r="P35" s="25"/>
      <c r="Q35" s="25"/>
      <c r="R35" s="25"/>
      <c r="S35" s="25"/>
      <c r="T35" s="25"/>
      <c r="U35" s="25"/>
      <c r="V35" s="26">
        <v>3598200</v>
      </c>
      <c r="W35" s="26">
        <f>97175+166600+166800</f>
        <v>430575</v>
      </c>
      <c r="X35" s="26"/>
      <c r="Y35" s="26"/>
      <c r="Z35" s="26"/>
      <c r="AA35" s="26">
        <v>51600</v>
      </c>
      <c r="AB35" s="26"/>
      <c r="AC35" s="25">
        <v>3311400</v>
      </c>
      <c r="AD35" s="25"/>
      <c r="AE35" s="25">
        <v>97175</v>
      </c>
      <c r="AF35" s="25"/>
      <c r="AG35" s="25"/>
      <c r="AH35" s="25"/>
      <c r="AI35" s="26"/>
      <c r="AJ35" s="26">
        <v>175336</v>
      </c>
      <c r="AK35" s="26"/>
      <c r="AL35" s="25">
        <f t="shared" si="0"/>
        <v>93331999</v>
      </c>
      <c r="AM35" s="25"/>
      <c r="AN35" s="25"/>
      <c r="AO35" s="25">
        <f>15760.98+28593</f>
        <v>44353.979999999996</v>
      </c>
      <c r="AP35" s="25">
        <f>1600000+500000</f>
        <v>2100000</v>
      </c>
      <c r="AQ35" s="25"/>
      <c r="AR35" s="25"/>
      <c r="AS35" s="25"/>
      <c r="AT35" s="25"/>
      <c r="AU35" s="25"/>
      <c r="AV35" s="25"/>
      <c r="AW35" s="25"/>
      <c r="AX35" s="25"/>
      <c r="AY35" s="25">
        <v>120000</v>
      </c>
      <c r="AZ35" s="25">
        <v>68000</v>
      </c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>
        <f t="shared" si="1"/>
        <v>2332353.98</v>
      </c>
    </row>
    <row r="36" spans="1:64" ht="74.25" customHeight="1">
      <c r="A36" s="22" t="s">
        <v>52</v>
      </c>
      <c r="B36" s="23" t="s">
        <v>87</v>
      </c>
      <c r="C36" s="24"/>
      <c r="D36" s="24"/>
      <c r="E36" s="24">
        <f>33847600-1120300+77700</f>
        <v>32805000</v>
      </c>
      <c r="F36" s="24">
        <f>33870300-5600800-4000000+1548700-6222600+122000-400</f>
        <v>19717200</v>
      </c>
      <c r="G36" s="24">
        <f>2054000+379600-1150400+1635200</f>
        <v>2918400</v>
      </c>
      <c r="H36" s="25">
        <f>508210+102500</f>
        <v>610710</v>
      </c>
      <c r="I36" s="25">
        <v>38432</v>
      </c>
      <c r="J36" s="25">
        <v>1472429</v>
      </c>
      <c r="K36" s="25"/>
      <c r="L36" s="25"/>
      <c r="M36" s="25"/>
      <c r="N36" s="25">
        <v>107200</v>
      </c>
      <c r="O36" s="25">
        <v>200</v>
      </c>
      <c r="P36" s="25"/>
      <c r="Q36" s="25"/>
      <c r="R36" s="25"/>
      <c r="S36" s="25"/>
      <c r="T36" s="25"/>
      <c r="U36" s="25"/>
      <c r="V36" s="26">
        <f>2898700+1920000</f>
        <v>4818700</v>
      </c>
      <c r="W36" s="26">
        <f>115375+166600+176800</f>
        <v>458775</v>
      </c>
      <c r="X36" s="26"/>
      <c r="Y36" s="26"/>
      <c r="Z36" s="26"/>
      <c r="AA36" s="26">
        <f>75200+58000</f>
        <v>133200</v>
      </c>
      <c r="AB36" s="26"/>
      <c r="AC36" s="25"/>
      <c r="AD36" s="25"/>
      <c r="AE36" s="25">
        <v>115375</v>
      </c>
      <c r="AF36" s="25">
        <v>350000</v>
      </c>
      <c r="AG36" s="25"/>
      <c r="AH36" s="25"/>
      <c r="AI36" s="26"/>
      <c r="AJ36" s="26">
        <v>87668</v>
      </c>
      <c r="AK36" s="26"/>
      <c r="AL36" s="25">
        <f t="shared" si="0"/>
        <v>63633089</v>
      </c>
      <c r="AM36" s="25"/>
      <c r="AN36" s="25"/>
      <c r="AO36" s="25">
        <f>30000</f>
        <v>30000</v>
      </c>
      <c r="AP36" s="25">
        <v>250000</v>
      </c>
      <c r="AQ36" s="25"/>
      <c r="AR36" s="25"/>
      <c r="AS36" s="25"/>
      <c r="AT36" s="25"/>
      <c r="AU36" s="25"/>
      <c r="AV36" s="25"/>
      <c r="AW36" s="25"/>
      <c r="AX36" s="25"/>
      <c r="AY36" s="25"/>
      <c r="AZ36" s="25">
        <v>30000</v>
      </c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>
        <f t="shared" si="1"/>
        <v>310000</v>
      </c>
    </row>
    <row r="37" spans="1:64" ht="74.25" customHeight="1">
      <c r="A37" s="22" t="s">
        <v>53</v>
      </c>
      <c r="B37" s="23" t="s">
        <v>88</v>
      </c>
      <c r="C37" s="24"/>
      <c r="D37" s="24"/>
      <c r="E37" s="24">
        <f>48548500-1815000+110900</f>
        <v>46844400</v>
      </c>
      <c r="F37" s="24">
        <f>41609900+3072800+11000000+3000000+5500000-3360700-4580700</f>
        <v>56241300</v>
      </c>
      <c r="G37" s="24">
        <f>275700+55500+70600+194400</f>
        <v>596200</v>
      </c>
      <c r="H37" s="25">
        <f>2020143-150000</f>
        <v>1870143</v>
      </c>
      <c r="I37" s="25">
        <v>62331</v>
      </c>
      <c r="J37" s="25"/>
      <c r="K37" s="25">
        <v>198000</v>
      </c>
      <c r="L37" s="25"/>
      <c r="M37" s="25"/>
      <c r="N37" s="25">
        <v>80200</v>
      </c>
      <c r="O37" s="25">
        <v>200</v>
      </c>
      <c r="P37" s="25"/>
      <c r="Q37" s="25"/>
      <c r="R37" s="25"/>
      <c r="S37" s="25"/>
      <c r="T37" s="25"/>
      <c r="U37" s="25"/>
      <c r="V37" s="26">
        <v>5366600</v>
      </c>
      <c r="W37" s="26">
        <f>129960+82640+267200+18320+378800</f>
        <v>876920</v>
      </c>
      <c r="X37" s="26">
        <v>70000</v>
      </c>
      <c r="Y37" s="26"/>
      <c r="Z37" s="26"/>
      <c r="AA37" s="26">
        <f>161800+37200</f>
        <v>199000</v>
      </c>
      <c r="AB37" s="26"/>
      <c r="AC37" s="25">
        <v>735700</v>
      </c>
      <c r="AD37" s="25"/>
      <c r="AE37" s="25">
        <f>129960-82640-18320</f>
        <v>29000</v>
      </c>
      <c r="AF37" s="25">
        <v>415000</v>
      </c>
      <c r="AG37" s="25"/>
      <c r="AH37" s="25"/>
      <c r="AI37" s="26"/>
      <c r="AJ37" s="26">
        <v>131502</v>
      </c>
      <c r="AK37" s="26"/>
      <c r="AL37" s="25">
        <f t="shared" si="0"/>
        <v>113716296</v>
      </c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>
        <f>15000+69000</f>
        <v>84000</v>
      </c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>
        <f t="shared" si="1"/>
        <v>84000</v>
      </c>
    </row>
    <row r="38" spans="1:64" ht="74.25" customHeight="1">
      <c r="A38" s="22" t="s">
        <v>54</v>
      </c>
      <c r="B38" s="23" t="s">
        <v>89</v>
      </c>
      <c r="C38" s="24"/>
      <c r="D38" s="24"/>
      <c r="E38" s="24">
        <f>77284100-3117000+176000</f>
        <v>74343100</v>
      </c>
      <c r="F38" s="24">
        <f>70675900-29014200+16000000+8216500+10191100-10251900-124200</f>
        <v>65693200</v>
      </c>
      <c r="G38" s="24">
        <f>461500+46200+1500+239700</f>
        <v>748900</v>
      </c>
      <c r="H38" s="25">
        <f>1868704+422000</f>
        <v>2290704</v>
      </c>
      <c r="I38" s="25">
        <v>127443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6">
        <v>0</v>
      </c>
      <c r="W38" s="26">
        <f>263775+149175+616400+712200</f>
        <v>1741550</v>
      </c>
      <c r="X38" s="26"/>
      <c r="Y38" s="26"/>
      <c r="Z38" s="26"/>
      <c r="AA38" s="26">
        <v>78100</v>
      </c>
      <c r="AB38" s="26"/>
      <c r="AC38" s="25"/>
      <c r="AD38" s="25"/>
      <c r="AE38" s="25">
        <f>263775-149175</f>
        <v>114600</v>
      </c>
      <c r="AF38" s="25"/>
      <c r="AG38" s="25"/>
      <c r="AH38" s="25">
        <v>500000</v>
      </c>
      <c r="AI38" s="26"/>
      <c r="AJ38" s="26">
        <v>250480</v>
      </c>
      <c r="AK38" s="26"/>
      <c r="AL38" s="25">
        <f t="shared" si="0"/>
        <v>145888077</v>
      </c>
      <c r="AM38" s="25"/>
      <c r="AN38" s="25"/>
      <c r="AO38" s="25"/>
      <c r="AP38" s="25">
        <f>2777000+25313296-12000000</f>
        <v>16090296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>
        <f>2000000+5925876.6</f>
        <v>7925876.6</v>
      </c>
      <c r="BG38" s="25"/>
      <c r="BH38" s="25"/>
      <c r="BI38" s="25"/>
      <c r="BJ38" s="25"/>
      <c r="BK38" s="25"/>
      <c r="BL38" s="25">
        <f t="shared" si="1"/>
        <v>24016172.6</v>
      </c>
    </row>
    <row r="39" spans="1:64" ht="74.25" customHeight="1">
      <c r="A39" s="22" t="s">
        <v>55</v>
      </c>
      <c r="B39" s="23" t="s">
        <v>90</v>
      </c>
      <c r="C39" s="24"/>
      <c r="D39" s="24"/>
      <c r="E39" s="24">
        <f>31552100-1940300+70300</f>
        <v>29682100</v>
      </c>
      <c r="F39" s="24">
        <f>24975600+3502100+2237300+2800000-4599000-100</f>
        <v>28915900</v>
      </c>
      <c r="G39" s="24">
        <f>886700+164300+495400</f>
        <v>1546400</v>
      </c>
      <c r="H39" s="25">
        <f>551179+70000</f>
        <v>621179</v>
      </c>
      <c r="I39" s="25">
        <v>19229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6">
        <f>5111000</f>
        <v>5111000</v>
      </c>
      <c r="W39" s="26">
        <f>99960+166600+166800</f>
        <v>433360</v>
      </c>
      <c r="X39" s="26"/>
      <c r="Y39" s="26">
        <v>24800</v>
      </c>
      <c r="Z39" s="26"/>
      <c r="AA39" s="26">
        <f>45100+73031</f>
        <v>118131</v>
      </c>
      <c r="AB39" s="26"/>
      <c r="AC39" s="25"/>
      <c r="AD39" s="25"/>
      <c r="AE39" s="25">
        <v>99960</v>
      </c>
      <c r="AF39" s="25">
        <f>230500+210000</f>
        <v>440500</v>
      </c>
      <c r="AG39" s="25">
        <f>150000-90000</f>
        <v>60000</v>
      </c>
      <c r="AH39" s="25">
        <f>350000+200000</f>
        <v>550000</v>
      </c>
      <c r="AI39" s="26"/>
      <c r="AJ39" s="26">
        <v>50096</v>
      </c>
      <c r="AK39" s="26"/>
      <c r="AL39" s="25">
        <f t="shared" si="0"/>
        <v>67672655</v>
      </c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>
        <v>56000</v>
      </c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>
        <f t="shared" si="1"/>
        <v>56000</v>
      </c>
    </row>
    <row r="40" spans="1:64" ht="74.25" customHeight="1">
      <c r="A40" s="22" t="s">
        <v>56</v>
      </c>
      <c r="B40" s="23" t="s">
        <v>91</v>
      </c>
      <c r="C40" s="24"/>
      <c r="D40" s="24"/>
      <c r="E40" s="24">
        <f>27170700-1049200+62000</f>
        <v>26183500</v>
      </c>
      <c r="F40" s="24">
        <f>26065600+441100+5000000+600000+650000-4728600+18000-900</f>
        <v>28045200</v>
      </c>
      <c r="G40" s="24">
        <f>514300+98000+155300</f>
        <v>767600</v>
      </c>
      <c r="H40" s="25">
        <v>1130765</v>
      </c>
      <c r="I40" s="25">
        <v>44446</v>
      </c>
      <c r="J40" s="25">
        <v>1472428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>
        <f>2364300+1877200-1877200</f>
        <v>2364300</v>
      </c>
      <c r="W40" s="26">
        <f>112175+180000-65000+160000</f>
        <v>387175</v>
      </c>
      <c r="X40" s="26"/>
      <c r="Y40" s="26"/>
      <c r="Z40" s="26"/>
      <c r="AA40" s="26">
        <f>69500-275</f>
        <v>69225</v>
      </c>
      <c r="AB40" s="26"/>
      <c r="AC40" s="25"/>
      <c r="AD40" s="25"/>
      <c r="AE40" s="25">
        <v>112175</v>
      </c>
      <c r="AF40" s="25">
        <v>140000</v>
      </c>
      <c r="AG40" s="25"/>
      <c r="AH40" s="25"/>
      <c r="AI40" s="26"/>
      <c r="AJ40" s="26">
        <v>75144</v>
      </c>
      <c r="AK40" s="26"/>
      <c r="AL40" s="25">
        <f t="shared" si="0"/>
        <v>60791958</v>
      </c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>
        <v>51000</v>
      </c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>
        <f t="shared" si="1"/>
        <v>51000</v>
      </c>
    </row>
    <row r="41" spans="1:64" ht="74.25" customHeight="1">
      <c r="A41" s="22" t="s">
        <v>57</v>
      </c>
      <c r="B41" s="23" t="s">
        <v>92</v>
      </c>
      <c r="C41" s="24"/>
      <c r="D41" s="24"/>
      <c r="E41" s="24">
        <f>30254100-1292500+68700</f>
        <v>29030300</v>
      </c>
      <c r="F41" s="24">
        <f>19754700-215900-1000000+2100000-3631400+42000</f>
        <v>17049400</v>
      </c>
      <c r="G41" s="24">
        <f>1506700+360800+500900</f>
        <v>2368400</v>
      </c>
      <c r="H41" s="25">
        <f>1106958+105000</f>
        <v>1211958</v>
      </c>
      <c r="I41" s="25">
        <v>48790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>
        <v>0</v>
      </c>
      <c r="W41" s="26">
        <f>27910+83300+66600+83300</f>
        <v>261110</v>
      </c>
      <c r="X41" s="26"/>
      <c r="Y41" s="26"/>
      <c r="Z41" s="26"/>
      <c r="AA41" s="26">
        <v>71600</v>
      </c>
      <c r="AB41" s="26"/>
      <c r="AC41" s="25"/>
      <c r="AD41" s="25"/>
      <c r="AE41" s="25">
        <v>27910</v>
      </c>
      <c r="AF41" s="25"/>
      <c r="AG41" s="25"/>
      <c r="AH41" s="25"/>
      <c r="AI41" s="26"/>
      <c r="AJ41" s="26">
        <v>112716</v>
      </c>
      <c r="AK41" s="26"/>
      <c r="AL41" s="25">
        <f t="shared" si="0"/>
        <v>50182184</v>
      </c>
      <c r="AM41" s="25"/>
      <c r="AN41" s="25"/>
      <c r="AO41" s="25">
        <v>40000</v>
      </c>
      <c r="AP41" s="25">
        <v>1500000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>
        <v>54000</v>
      </c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>
        <f t="shared" si="1"/>
        <v>1594000</v>
      </c>
    </row>
    <row r="42" spans="1:64" ht="74.25" customHeight="1">
      <c r="A42" s="22" t="s">
        <v>58</v>
      </c>
      <c r="B42" s="23" t="s">
        <v>93</v>
      </c>
      <c r="C42" s="24"/>
      <c r="D42" s="24"/>
      <c r="E42" s="24">
        <f>38292000-1627700+87000</f>
        <v>36751300</v>
      </c>
      <c r="F42" s="24">
        <f>43992500+2576100+2000000+14451800+5000000-15912700-433800</f>
        <v>51673900</v>
      </c>
      <c r="G42" s="24">
        <f>256300+44400+187700</f>
        <v>488400</v>
      </c>
      <c r="H42" s="25">
        <f>1678852+320000</f>
        <v>1998852</v>
      </c>
      <c r="I42" s="25">
        <v>63429</v>
      </c>
      <c r="J42" s="25">
        <v>1472429</v>
      </c>
      <c r="K42" s="25"/>
      <c r="L42" s="25"/>
      <c r="M42" s="25"/>
      <c r="N42" s="25">
        <v>446100</v>
      </c>
      <c r="O42" s="25">
        <v>1100</v>
      </c>
      <c r="P42" s="25"/>
      <c r="Q42" s="25"/>
      <c r="R42" s="25"/>
      <c r="S42" s="25"/>
      <c r="T42" s="25"/>
      <c r="U42" s="25"/>
      <c r="V42" s="26">
        <f>4875300+2290000</f>
        <v>7165300</v>
      </c>
      <c r="W42" s="26">
        <f>137425+166600+266800</f>
        <v>570825</v>
      </c>
      <c r="X42" s="26"/>
      <c r="Y42" s="26"/>
      <c r="Z42" s="26"/>
      <c r="AA42" s="26">
        <f>59400+14850</f>
        <v>74250</v>
      </c>
      <c r="AB42" s="26"/>
      <c r="AC42" s="25"/>
      <c r="AD42" s="25"/>
      <c r="AE42" s="25">
        <v>137425</v>
      </c>
      <c r="AF42" s="25">
        <v>131300</v>
      </c>
      <c r="AG42" s="25">
        <v>150000</v>
      </c>
      <c r="AH42" s="25"/>
      <c r="AI42" s="26"/>
      <c r="AJ42" s="26">
        <v>106454</v>
      </c>
      <c r="AK42" s="26"/>
      <c r="AL42" s="25">
        <f t="shared" si="0"/>
        <v>101229964</v>
      </c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>
        <f>21703+42858+5560</f>
        <v>70121</v>
      </c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>
        <f t="shared" si="1"/>
        <v>70121</v>
      </c>
    </row>
    <row r="43" spans="1:64" ht="74.25" customHeight="1">
      <c r="A43" s="22" t="s">
        <v>59</v>
      </c>
      <c r="B43" s="23" t="s">
        <v>94</v>
      </c>
      <c r="C43" s="24"/>
      <c r="D43" s="24"/>
      <c r="E43" s="24">
        <f>65953500-2643500+150300+100000</f>
        <v>63560300</v>
      </c>
      <c r="F43" s="24">
        <f>70913500-22623800+1500000+8280800+9200000-12664500+94000-500</f>
        <v>54699500</v>
      </c>
      <c r="G43" s="24">
        <f>1030500+189500+405800</f>
        <v>1625800</v>
      </c>
      <c r="H43" s="25">
        <v>6250836</v>
      </c>
      <c r="I43" s="25">
        <v>81790</v>
      </c>
      <c r="J43" s="25">
        <v>1472431</v>
      </c>
      <c r="K43" s="25"/>
      <c r="L43" s="25">
        <v>4988200</v>
      </c>
      <c r="M43" s="25"/>
      <c r="N43" s="25">
        <v>210400</v>
      </c>
      <c r="O43" s="25">
        <v>1400</v>
      </c>
      <c r="P43" s="25"/>
      <c r="Q43" s="25"/>
      <c r="R43" s="25"/>
      <c r="S43" s="25"/>
      <c r="T43" s="25"/>
      <c r="U43" s="25"/>
      <c r="V43" s="26">
        <v>5810300</v>
      </c>
      <c r="W43" s="26">
        <f>85825+3025+140000+141800</f>
        <v>370650</v>
      </c>
      <c r="X43" s="26"/>
      <c r="Y43" s="26">
        <v>172000</v>
      </c>
      <c r="Z43" s="26"/>
      <c r="AA43" s="26">
        <f>78100+45475</f>
        <v>123575</v>
      </c>
      <c r="AB43" s="26"/>
      <c r="AC43" s="25">
        <f>553000+546200</f>
        <v>1099200</v>
      </c>
      <c r="AD43" s="25"/>
      <c r="AE43" s="25">
        <f>85825-3025</f>
        <v>82800</v>
      </c>
      <c r="AF43" s="25">
        <v>150000</v>
      </c>
      <c r="AG43" s="25"/>
      <c r="AH43" s="25">
        <v>1000000</v>
      </c>
      <c r="AI43" s="26"/>
      <c r="AJ43" s="26">
        <v>200454</v>
      </c>
      <c r="AK43" s="26"/>
      <c r="AL43" s="25">
        <f t="shared" si="0"/>
        <v>141898236</v>
      </c>
      <c r="AM43" s="25"/>
      <c r="AN43" s="25"/>
      <c r="AO43" s="25"/>
      <c r="AP43" s="25">
        <f>300000</f>
        <v>300000</v>
      </c>
      <c r="AQ43" s="25"/>
      <c r="AR43" s="25"/>
      <c r="AS43" s="25"/>
      <c r="AT43" s="25"/>
      <c r="AU43" s="25"/>
      <c r="AV43" s="25"/>
      <c r="AW43" s="25"/>
      <c r="AX43" s="25"/>
      <c r="AY43" s="25"/>
      <c r="AZ43" s="25">
        <f>10000+10000+10000</f>
        <v>30000</v>
      </c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>
        <f t="shared" si="1"/>
        <v>330000</v>
      </c>
    </row>
    <row r="44" spans="1:64" ht="74.25" customHeight="1">
      <c r="A44" s="22" t="s">
        <v>60</v>
      </c>
      <c r="B44" s="23" t="s">
        <v>95</v>
      </c>
      <c r="C44" s="24"/>
      <c r="D44" s="24"/>
      <c r="E44" s="24">
        <f>44955900-1676700+102700+900000</f>
        <v>44281900</v>
      </c>
      <c r="F44" s="24">
        <f>44782500-12651100+5000000+8005000+4100000-7170600-1121900</f>
        <v>40943900</v>
      </c>
      <c r="G44" s="24">
        <f>353700+62000+115100</f>
        <v>530800</v>
      </c>
      <c r="H44" s="25">
        <f>1499203-133000</f>
        <v>1366203</v>
      </c>
      <c r="I44" s="25">
        <v>65394</v>
      </c>
      <c r="J44" s="25">
        <v>1472428</v>
      </c>
      <c r="K44" s="25"/>
      <c r="L44" s="25">
        <v>2000000</v>
      </c>
      <c r="M44" s="25"/>
      <c r="N44" s="25">
        <v>125200</v>
      </c>
      <c r="O44" s="25">
        <v>1200</v>
      </c>
      <c r="P44" s="25"/>
      <c r="Q44" s="25"/>
      <c r="R44" s="25"/>
      <c r="S44" s="25"/>
      <c r="T44" s="25"/>
      <c r="U44" s="25"/>
      <c r="V44" s="26">
        <f>5268200+2227000-2227000</f>
        <v>5268200</v>
      </c>
      <c r="W44" s="26">
        <f>314025+586400+550400</f>
        <v>1450825</v>
      </c>
      <c r="X44" s="26"/>
      <c r="Y44" s="26"/>
      <c r="Z44" s="26"/>
      <c r="AA44" s="26">
        <v>161100</v>
      </c>
      <c r="AB44" s="26">
        <f>1500000-160000</f>
        <v>1340000</v>
      </c>
      <c r="AC44" s="25"/>
      <c r="AD44" s="25"/>
      <c r="AE44" s="25">
        <v>314025</v>
      </c>
      <c r="AF44" s="25"/>
      <c r="AG44" s="25"/>
      <c r="AH44" s="25"/>
      <c r="AI44" s="26"/>
      <c r="AJ44" s="26">
        <v>137764</v>
      </c>
      <c r="AK44" s="26">
        <v>500000</v>
      </c>
      <c r="AL44" s="25">
        <f t="shared" si="0"/>
        <v>99957739</v>
      </c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>
        <f>77000+77000-77000</f>
        <v>77000</v>
      </c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>
        <f t="shared" si="1"/>
        <v>77000</v>
      </c>
    </row>
    <row r="45" spans="1:64" ht="74.25" customHeight="1">
      <c r="A45" s="22" t="s">
        <v>61</v>
      </c>
      <c r="B45" s="23" t="s">
        <v>96</v>
      </c>
      <c r="C45" s="24"/>
      <c r="D45" s="24"/>
      <c r="E45" s="24">
        <f>52941900-1128200+123000</f>
        <v>51936700</v>
      </c>
      <c r="F45" s="24">
        <f>37549500-6722500+8000000+2342300+6000000-2060300-856900</f>
        <v>44252100</v>
      </c>
      <c r="G45" s="24">
        <f>563300+30800+217100</f>
        <v>811200</v>
      </c>
      <c r="H45" s="25">
        <f>1250614+244000</f>
        <v>1494614</v>
      </c>
      <c r="I45" s="25">
        <v>24023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6">
        <v>5065300</v>
      </c>
      <c r="W45" s="26">
        <f>212425+63729-31863-31866+340300+383600</f>
        <v>936325</v>
      </c>
      <c r="X45" s="26"/>
      <c r="Y45" s="26">
        <v>29000</v>
      </c>
      <c r="Z45" s="26"/>
      <c r="AA45" s="26">
        <f>90900-558</f>
        <v>90342</v>
      </c>
      <c r="AB45" s="26"/>
      <c r="AC45" s="25"/>
      <c r="AD45" s="25"/>
      <c r="AE45" s="25">
        <f>212425+2759-31863-31866</f>
        <v>151455</v>
      </c>
      <c r="AF45" s="25">
        <v>648800</v>
      </c>
      <c r="AG45" s="25"/>
      <c r="AH45" s="25">
        <f>150000-150000</f>
        <v>0</v>
      </c>
      <c r="AI45" s="26"/>
      <c r="AJ45" s="26">
        <v>100192</v>
      </c>
      <c r="AK45" s="26"/>
      <c r="AL45" s="25">
        <f t="shared" si="0"/>
        <v>105540051</v>
      </c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>
        <v>78000</v>
      </c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>
        <f t="shared" si="1"/>
        <v>78000</v>
      </c>
    </row>
    <row r="46" spans="1:64" ht="74.25" customHeight="1">
      <c r="A46" s="22" t="s">
        <v>62</v>
      </c>
      <c r="B46" s="23" t="s">
        <v>97</v>
      </c>
      <c r="C46" s="24"/>
      <c r="D46" s="24"/>
      <c r="E46" s="24">
        <f>33039900-1314200+75300</f>
        <v>31801000</v>
      </c>
      <c r="F46" s="24">
        <f>46492100-21013200+2500000+5655300+3900000-6767700-5123200</f>
        <v>25643300</v>
      </c>
      <c r="G46" s="24">
        <f>540900+108600+50500+281800</f>
        <v>981800</v>
      </c>
      <c r="H46" s="25">
        <v>1806532</v>
      </c>
      <c r="I46" s="25">
        <v>34333</v>
      </c>
      <c r="J46" s="25">
        <v>1472428</v>
      </c>
      <c r="K46" s="25"/>
      <c r="L46" s="25"/>
      <c r="M46" s="25"/>
      <c r="N46" s="25">
        <v>198400</v>
      </c>
      <c r="O46" s="25">
        <v>400</v>
      </c>
      <c r="P46" s="25"/>
      <c r="Q46" s="25"/>
      <c r="R46" s="25"/>
      <c r="S46" s="25"/>
      <c r="T46" s="25"/>
      <c r="U46" s="25"/>
      <c r="V46" s="26">
        <f>2880100+2170000</f>
        <v>5050100</v>
      </c>
      <c r="W46" s="26">
        <f>149950+196600+196800</f>
        <v>543350</v>
      </c>
      <c r="X46" s="26"/>
      <c r="Y46" s="26"/>
      <c r="Z46" s="26"/>
      <c r="AA46" s="26">
        <v>90200</v>
      </c>
      <c r="AB46" s="26"/>
      <c r="AC46" s="25"/>
      <c r="AD46" s="25"/>
      <c r="AE46" s="25">
        <v>149950</v>
      </c>
      <c r="AF46" s="25">
        <v>159200</v>
      </c>
      <c r="AG46" s="25">
        <v>150000</v>
      </c>
      <c r="AH46" s="25">
        <f>800000-750000</f>
        <v>50000</v>
      </c>
      <c r="AI46" s="26"/>
      <c r="AJ46" s="26">
        <v>100192</v>
      </c>
      <c r="AK46" s="26"/>
      <c r="AL46" s="25">
        <f t="shared" si="0"/>
        <v>68230785</v>
      </c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>
        <v>44000</v>
      </c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>
        <f t="shared" si="1"/>
        <v>44000</v>
      </c>
    </row>
    <row r="47" spans="1:64" ht="70.5" customHeight="1">
      <c r="A47" s="22" t="s">
        <v>63</v>
      </c>
      <c r="B47" s="23" t="s">
        <v>98</v>
      </c>
      <c r="C47" s="24"/>
      <c r="D47" s="24"/>
      <c r="E47" s="24">
        <f>41650100-1373700+95600</f>
        <v>40372000</v>
      </c>
      <c r="F47" s="24">
        <f>74483100-14914300-10000000+3000000+4400000-9697200-758900</f>
        <v>46512700</v>
      </c>
      <c r="G47" s="24">
        <f>716400+284300+117300</f>
        <v>1118000</v>
      </c>
      <c r="H47" s="25">
        <f>3035115+428000</f>
        <v>3463115</v>
      </c>
      <c r="I47" s="25">
        <v>47057</v>
      </c>
      <c r="J47" s="25">
        <v>1472428</v>
      </c>
      <c r="K47" s="25"/>
      <c r="L47" s="25"/>
      <c r="M47" s="25"/>
      <c r="N47" s="25">
        <f>96800+227800</f>
        <v>324600</v>
      </c>
      <c r="O47" s="25">
        <f>1000+800</f>
        <v>1800</v>
      </c>
      <c r="P47" s="25"/>
      <c r="Q47" s="25"/>
      <c r="R47" s="25"/>
      <c r="S47" s="25"/>
      <c r="T47" s="25"/>
      <c r="U47" s="25"/>
      <c r="V47" s="26">
        <v>3478800</v>
      </c>
      <c r="W47" s="26">
        <f>91660-22589+429+150000+166800</f>
        <v>386300</v>
      </c>
      <c r="X47" s="26"/>
      <c r="Y47" s="26"/>
      <c r="Z47" s="26"/>
      <c r="AA47" s="26">
        <v>80900</v>
      </c>
      <c r="AB47" s="26"/>
      <c r="AC47" s="25">
        <v>1100000</v>
      </c>
      <c r="AD47" s="25"/>
      <c r="AE47" s="25">
        <f>91660+22589-429</f>
        <v>113820</v>
      </c>
      <c r="AF47" s="25">
        <v>342300</v>
      </c>
      <c r="AG47" s="25">
        <v>150000</v>
      </c>
      <c r="AH47" s="25"/>
      <c r="AI47" s="26"/>
      <c r="AJ47" s="26">
        <v>93930</v>
      </c>
      <c r="AK47" s="26"/>
      <c r="AL47" s="25">
        <f aca="true" t="shared" si="4" ref="AL47:AL73">SUM(C47:AK47)-O47</f>
        <v>99055950</v>
      </c>
      <c r="AM47" s="25"/>
      <c r="AN47" s="25"/>
      <c r="AO47" s="25"/>
      <c r="AP47" s="25">
        <v>250000</v>
      </c>
      <c r="AQ47" s="25"/>
      <c r="AR47" s="25"/>
      <c r="AS47" s="25"/>
      <c r="AT47" s="25"/>
      <c r="AU47" s="25"/>
      <c r="AV47" s="25"/>
      <c r="AW47" s="25"/>
      <c r="AX47" s="25"/>
      <c r="AY47" s="25"/>
      <c r="AZ47" s="25">
        <v>51000</v>
      </c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>
        <f t="shared" si="1"/>
        <v>301000</v>
      </c>
    </row>
    <row r="48" spans="1:64" ht="74.25" customHeight="1">
      <c r="A48" s="22" t="s">
        <v>64</v>
      </c>
      <c r="B48" s="23" t="s">
        <v>99</v>
      </c>
      <c r="C48" s="24"/>
      <c r="D48" s="24"/>
      <c r="E48" s="24">
        <f>31715900-245500+74700</f>
        <v>31545100</v>
      </c>
      <c r="F48" s="24">
        <f>52761900-7941200+2500000+7200000-7538900-767200</f>
        <v>46214600</v>
      </c>
      <c r="G48" s="24">
        <f>504700+30600+130200</f>
        <v>665500</v>
      </c>
      <c r="H48" s="25">
        <f>1099828+113000</f>
        <v>1212828</v>
      </c>
      <c r="I48" s="25">
        <v>34028</v>
      </c>
      <c r="J48" s="25">
        <v>1472428</v>
      </c>
      <c r="K48" s="25"/>
      <c r="L48" s="25">
        <f>5332800-5332800</f>
        <v>0</v>
      </c>
      <c r="M48" s="25">
        <v>422090</v>
      </c>
      <c r="N48" s="25">
        <v>269800</v>
      </c>
      <c r="O48" s="25">
        <v>1800</v>
      </c>
      <c r="P48" s="25"/>
      <c r="Q48" s="25"/>
      <c r="R48" s="25"/>
      <c r="S48" s="25"/>
      <c r="T48" s="25"/>
      <c r="U48" s="25"/>
      <c r="V48" s="26">
        <f>3601500+2300100+1856800-1856800</f>
        <v>5901600</v>
      </c>
      <c r="W48" s="26">
        <f>174350+166600+171900</f>
        <v>512850</v>
      </c>
      <c r="X48" s="26"/>
      <c r="Y48" s="26"/>
      <c r="Z48" s="26"/>
      <c r="AA48" s="26">
        <f>65100-44+55133</f>
        <v>120189</v>
      </c>
      <c r="AB48" s="26"/>
      <c r="AC48" s="25">
        <f>374767-100000</f>
        <v>274767</v>
      </c>
      <c r="AD48" s="25"/>
      <c r="AE48" s="25">
        <f>97175-77175</f>
        <v>20000</v>
      </c>
      <c r="AF48" s="25">
        <v>200000</v>
      </c>
      <c r="AG48" s="25">
        <f>150000-150000</f>
        <v>0</v>
      </c>
      <c r="AH48" s="25"/>
      <c r="AI48" s="26"/>
      <c r="AJ48" s="26">
        <v>81406</v>
      </c>
      <c r="AK48" s="26"/>
      <c r="AL48" s="25">
        <f t="shared" si="4"/>
        <v>88947186</v>
      </c>
      <c r="AM48" s="25"/>
      <c r="AN48" s="25"/>
      <c r="AO48" s="25"/>
      <c r="AP48" s="25">
        <f>1000000</f>
        <v>1000000</v>
      </c>
      <c r="AQ48" s="25"/>
      <c r="AR48" s="25"/>
      <c r="AS48" s="25"/>
      <c r="AT48" s="25"/>
      <c r="AU48" s="25"/>
      <c r="AV48" s="25"/>
      <c r="AW48" s="25"/>
      <c r="AX48" s="25"/>
      <c r="AY48" s="25"/>
      <c r="AZ48" s="25">
        <f>7000+47000</f>
        <v>54000</v>
      </c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>
        <f t="shared" si="1"/>
        <v>1054000</v>
      </c>
    </row>
    <row r="49" spans="1:64" ht="74.25" customHeight="1">
      <c r="A49" s="22" t="s">
        <v>65</v>
      </c>
      <c r="B49" s="23" t="s">
        <v>100</v>
      </c>
      <c r="C49" s="24"/>
      <c r="D49" s="24"/>
      <c r="E49" s="24">
        <f>33627500-1433200+76400</f>
        <v>32270700</v>
      </c>
      <c r="F49" s="24">
        <f>40514600-11335900+6500000+9831400+3900000-6745100-1453300</f>
        <v>41211700</v>
      </c>
      <c r="G49" s="24">
        <f>371500+50400+334900</f>
        <v>756800</v>
      </c>
      <c r="H49" s="25">
        <f>1341169+55000</f>
        <v>1396169</v>
      </c>
      <c r="I49" s="25">
        <v>47484</v>
      </c>
      <c r="J49" s="25"/>
      <c r="K49" s="25"/>
      <c r="L49" s="25"/>
      <c r="M49" s="25"/>
      <c r="N49" s="25">
        <v>202400</v>
      </c>
      <c r="O49" s="25">
        <v>400</v>
      </c>
      <c r="P49" s="25"/>
      <c r="Q49" s="25"/>
      <c r="R49" s="25"/>
      <c r="S49" s="25"/>
      <c r="T49" s="25"/>
      <c r="U49" s="25"/>
      <c r="V49" s="26">
        <f>4067600+1398600</f>
        <v>5466200</v>
      </c>
      <c r="W49" s="26">
        <f>137425+404800+505400</f>
        <v>1047625</v>
      </c>
      <c r="X49" s="26"/>
      <c r="Y49" s="26"/>
      <c r="Z49" s="26"/>
      <c r="AA49" s="26">
        <v>88800</v>
      </c>
      <c r="AB49" s="26"/>
      <c r="AC49" s="25">
        <f>1100000</f>
        <v>1100000</v>
      </c>
      <c r="AD49" s="25"/>
      <c r="AE49" s="25">
        <v>137425</v>
      </c>
      <c r="AF49" s="25"/>
      <c r="AG49" s="25"/>
      <c r="AH49" s="25"/>
      <c r="AI49" s="26"/>
      <c r="AJ49" s="26">
        <v>118978</v>
      </c>
      <c r="AK49" s="26"/>
      <c r="AL49" s="25">
        <f t="shared" si="4"/>
        <v>83844281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>
        <v>55000</v>
      </c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>
        <f t="shared" si="1"/>
        <v>55000</v>
      </c>
    </row>
    <row r="50" spans="1:64" ht="74.25" customHeight="1">
      <c r="A50" s="22" t="s">
        <v>66</v>
      </c>
      <c r="B50" s="23" t="s">
        <v>101</v>
      </c>
      <c r="C50" s="24"/>
      <c r="D50" s="24"/>
      <c r="E50" s="24">
        <f>15798800-818600+35600</f>
        <v>15015800</v>
      </c>
      <c r="F50" s="24">
        <f>12836700-3400300+6000000+2983800+1700000-3172400-700</f>
        <v>16947100</v>
      </c>
      <c r="G50" s="24">
        <f>404800+126100+441700</f>
        <v>972600</v>
      </c>
      <c r="H50" s="25">
        <f>1565184+50000</f>
        <v>1615184</v>
      </c>
      <c r="I50" s="25">
        <v>28989</v>
      </c>
      <c r="J50" s="25">
        <v>1472428</v>
      </c>
      <c r="K50" s="25"/>
      <c r="L50" s="25"/>
      <c r="M50" s="25"/>
      <c r="N50" s="25">
        <v>77200</v>
      </c>
      <c r="O50" s="25">
        <v>200</v>
      </c>
      <c r="P50" s="25"/>
      <c r="Q50" s="25"/>
      <c r="R50" s="25"/>
      <c r="S50" s="25"/>
      <c r="T50" s="25"/>
      <c r="U50" s="25"/>
      <c r="V50" s="26">
        <f>1355500+2934600</f>
        <v>4290100</v>
      </c>
      <c r="W50" s="26">
        <f>97175+333200+166800</f>
        <v>597175</v>
      </c>
      <c r="X50" s="26"/>
      <c r="Y50" s="26"/>
      <c r="Z50" s="26"/>
      <c r="AA50" s="26">
        <f>21500+25288</f>
        <v>46788</v>
      </c>
      <c r="AB50" s="26">
        <f>1399631</f>
        <v>1399631</v>
      </c>
      <c r="AC50" s="25">
        <f>3680306+1824000</f>
        <v>5504306</v>
      </c>
      <c r="AD50" s="25"/>
      <c r="AE50" s="25">
        <f>97175+166600</f>
        <v>263775</v>
      </c>
      <c r="AF50" s="25">
        <v>450000</v>
      </c>
      <c r="AG50" s="25"/>
      <c r="AH50" s="25"/>
      <c r="AI50" s="26"/>
      <c r="AJ50" s="26">
        <v>81406</v>
      </c>
      <c r="AK50" s="26"/>
      <c r="AL50" s="25">
        <f t="shared" si="4"/>
        <v>48762482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>
        <f t="shared" si="1"/>
        <v>0</v>
      </c>
    </row>
    <row r="51" spans="1:64" ht="74.25" customHeight="1">
      <c r="A51" s="22"/>
      <c r="B51" s="23" t="s">
        <v>71</v>
      </c>
      <c r="C51" s="25">
        <f>C50+C49+C48+C47+C46+C45+C44+C43+C42+C41+C40+C39+C38+C37+C36+C35+C34+C33+C32+C31+C30+C29</f>
        <v>0</v>
      </c>
      <c r="D51" s="25">
        <f>D50+D49+D48+D47+D46+D45+D44+D43+D42+D41+D40+D39+D38+D37+D36+D35+D34+D33+D32+D31+D30+D29</f>
        <v>0</v>
      </c>
      <c r="E51" s="25">
        <f aca="true" t="shared" si="5" ref="E51:AK51">E50+E49+E48+E47+E46+E45+E44+E43+E42+E41+E40+E39+E38+E37+E36+E35+E34+E33+E32+E31+E30+E29</f>
        <v>996190400</v>
      </c>
      <c r="F51" s="25">
        <f t="shared" si="5"/>
        <v>946072300</v>
      </c>
      <c r="G51" s="25">
        <f t="shared" si="5"/>
        <v>25806900</v>
      </c>
      <c r="H51" s="25">
        <f t="shared" si="5"/>
        <v>48528818</v>
      </c>
      <c r="I51" s="25">
        <f t="shared" si="5"/>
        <v>1189952</v>
      </c>
      <c r="J51" s="25">
        <f t="shared" si="5"/>
        <v>17669144</v>
      </c>
      <c r="K51" s="25">
        <f t="shared" si="5"/>
        <v>198000</v>
      </c>
      <c r="L51" s="25">
        <f t="shared" si="5"/>
        <v>11246176</v>
      </c>
      <c r="M51" s="25">
        <f t="shared" si="5"/>
        <v>2841140</v>
      </c>
      <c r="N51" s="25">
        <f>N50+N49+N48+N47+N46+N45+N44+N43+N42+N41+N40+N39+N38+N37+N36+N35+N34+N33+N32+N31+N30+N29</f>
        <v>2699500</v>
      </c>
      <c r="O51" s="25">
        <f t="shared" si="5"/>
        <v>10400</v>
      </c>
      <c r="P51" s="25">
        <f t="shared" si="5"/>
        <v>0</v>
      </c>
      <c r="Q51" s="25"/>
      <c r="R51" s="25"/>
      <c r="S51" s="25">
        <f>S50+S49+S48+S47+S46+S45+S44+S43+S42+S41+S40+S39+S38+S37+S36+S35+S34+S33+S32+S31+S30+S29</f>
        <v>0</v>
      </c>
      <c r="T51" s="25">
        <f t="shared" si="5"/>
        <v>0</v>
      </c>
      <c r="U51" s="25">
        <f t="shared" si="5"/>
        <v>0</v>
      </c>
      <c r="V51" s="25">
        <f t="shared" si="5"/>
        <v>93911200</v>
      </c>
      <c r="W51" s="25">
        <f t="shared" si="5"/>
        <v>15407769</v>
      </c>
      <c r="X51" s="25">
        <f t="shared" si="5"/>
        <v>70000</v>
      </c>
      <c r="Y51" s="25">
        <f t="shared" si="5"/>
        <v>609300</v>
      </c>
      <c r="Z51" s="25">
        <f>Z50+Z49+Z48+Z47+Z46+Z45+Z44+Z43+Z42+Z41+Z40+Z39+Z38+Z37+Z36+Z35+Z34+Z33+Z32+Z31+Z30+Z29</f>
        <v>0</v>
      </c>
      <c r="AA51" s="25">
        <f t="shared" si="5"/>
        <v>2294800</v>
      </c>
      <c r="AB51" s="25">
        <f t="shared" si="5"/>
        <v>2841877</v>
      </c>
      <c r="AC51" s="25">
        <f t="shared" si="5"/>
        <v>15379289</v>
      </c>
      <c r="AD51" s="25">
        <f t="shared" si="5"/>
        <v>0</v>
      </c>
      <c r="AE51" s="25">
        <f t="shared" si="5"/>
        <v>2655901</v>
      </c>
      <c r="AF51" s="25">
        <f t="shared" si="5"/>
        <v>3951100</v>
      </c>
      <c r="AG51" s="25">
        <f>AG50+AG49+AG48+AG47+AG46+AG45+AG44+AG43+AG42+AG41+AG40+AG39+AG38+AG37+AG36+AG35+AG34+AG33+AG32+AG31+AG30+AG29</f>
        <v>810000</v>
      </c>
      <c r="AH51" s="25">
        <f>AH50+AH49+AH48+AH47+AH46+AH45+AH44+AH43+AH42+AH41+AH40+AH39+AH38+AH37+AH36+AH35+AH34+AH33+AH32+AH31+AH30+AH29</f>
        <v>2100000</v>
      </c>
      <c r="AI51" s="25">
        <f t="shared" si="5"/>
        <v>0</v>
      </c>
      <c r="AJ51" s="25">
        <f t="shared" si="5"/>
        <v>2536180</v>
      </c>
      <c r="AK51" s="25">
        <f t="shared" si="5"/>
        <v>1000000</v>
      </c>
      <c r="AL51" s="25">
        <f t="shared" si="4"/>
        <v>2196009746</v>
      </c>
      <c r="AM51" s="25">
        <f>AM50+AM49+AM48+AM47+AM46+AM45+AM44+AM43+AM42+AM41+AM40+AM39+AM38+AM37+AM36+AM35+AM34+AM33+AM32+AM31+AM30+AM29</f>
        <v>755000</v>
      </c>
      <c r="AN51" s="25">
        <f>AN50+AN49+AN48+AN47+AN46+AN45+AN44+AN43+AN42+AN41+AN40+AN39+AN38+AN37+AN36+AN35+AN34+AN33+AN32+AN31+AN30+AN29</f>
        <v>0</v>
      </c>
      <c r="AO51" s="25">
        <f aca="true" t="shared" si="6" ref="AO51:BH51">AO50+AO49+AO48+AO47+AO46+AO45+AO44+AO43+AO42+AO41+AO40+AO39+AO38+AO37+AO36+AO35+AO34+AO33+AO32+AO31+AO30+AO29</f>
        <v>114353.98</v>
      </c>
      <c r="AP51" s="25">
        <f t="shared" si="6"/>
        <v>22250884</v>
      </c>
      <c r="AQ51" s="25">
        <f t="shared" si="6"/>
        <v>0</v>
      </c>
      <c r="AR51" s="25">
        <f t="shared" si="6"/>
        <v>0</v>
      </c>
      <c r="AS51" s="25">
        <f t="shared" si="6"/>
        <v>0</v>
      </c>
      <c r="AT51" s="25">
        <f t="shared" si="6"/>
        <v>0</v>
      </c>
      <c r="AU51" s="25">
        <f t="shared" si="6"/>
        <v>0</v>
      </c>
      <c r="AV51" s="25">
        <f t="shared" si="6"/>
        <v>0</v>
      </c>
      <c r="AW51" s="25">
        <f t="shared" si="6"/>
        <v>0</v>
      </c>
      <c r="AX51" s="25">
        <f t="shared" si="6"/>
        <v>0</v>
      </c>
      <c r="AY51" s="25">
        <f t="shared" si="6"/>
        <v>120000</v>
      </c>
      <c r="AZ51" s="25">
        <f t="shared" si="6"/>
        <v>1139121</v>
      </c>
      <c r="BA51" s="25">
        <f t="shared" si="6"/>
        <v>87000</v>
      </c>
      <c r="BB51" s="25">
        <f t="shared" si="6"/>
        <v>0</v>
      </c>
      <c r="BC51" s="25">
        <f t="shared" si="6"/>
        <v>0</v>
      </c>
      <c r="BD51" s="25">
        <f t="shared" si="6"/>
        <v>0</v>
      </c>
      <c r="BE51" s="25">
        <f t="shared" si="6"/>
        <v>0</v>
      </c>
      <c r="BF51" s="25">
        <f t="shared" si="6"/>
        <v>7925876.6</v>
      </c>
      <c r="BG51" s="25">
        <f t="shared" si="6"/>
        <v>0</v>
      </c>
      <c r="BH51" s="25">
        <f t="shared" si="6"/>
        <v>0</v>
      </c>
      <c r="BI51" s="25"/>
      <c r="BJ51" s="25">
        <f>BJ50+BJ49+BJ48+BJ47+BJ46+BJ45+BJ44+BJ43+BJ42+BJ41+BJ40+BJ39+BJ38+BJ37+BJ36+BJ35+BJ34+BJ33+BJ32+BJ31+BJ30+BJ29</f>
        <v>0</v>
      </c>
      <c r="BK51" s="25">
        <f>BK50+BK49+BK48+BK47+BK46+BK45+BK44+BK43+BK42+BK41+BK40+BK39+BK38+BK37+BK36+BK35+BK34+BK33+BK32+BK31+BK30+BK29</f>
        <v>0</v>
      </c>
      <c r="BL51" s="25">
        <f t="shared" si="1"/>
        <v>32392235.58</v>
      </c>
    </row>
    <row r="52" spans="1:64" ht="74.25" customHeight="1">
      <c r="A52" s="22"/>
      <c r="B52" s="23" t="s">
        <v>132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7"/>
      <c r="U52" s="27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>
        <f t="shared" si="4"/>
        <v>0</v>
      </c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>
        <f t="shared" si="1"/>
        <v>0</v>
      </c>
    </row>
    <row r="53" spans="1:64" ht="74.25" customHeight="1">
      <c r="A53" s="22" t="s">
        <v>144</v>
      </c>
      <c r="B53" s="23" t="s">
        <v>135</v>
      </c>
      <c r="C53" s="25"/>
      <c r="D53" s="25"/>
      <c r="E53" s="25"/>
      <c r="F53" s="25"/>
      <c r="G53" s="25"/>
      <c r="H53" s="25"/>
      <c r="I53" s="25">
        <v>45239</v>
      </c>
      <c r="J53" s="25">
        <v>1472428</v>
      </c>
      <c r="K53" s="25"/>
      <c r="L53" s="25"/>
      <c r="M53" s="25"/>
      <c r="N53" s="25"/>
      <c r="O53" s="25"/>
      <c r="P53" s="25"/>
      <c r="Q53" s="25"/>
      <c r="R53" s="25"/>
      <c r="S53" s="25"/>
      <c r="T53" s="27"/>
      <c r="U53" s="27"/>
      <c r="V53" s="25"/>
      <c r="W53" s="25">
        <f>88250+125000</f>
        <v>213250</v>
      </c>
      <c r="X53" s="25"/>
      <c r="Y53" s="25"/>
      <c r="Z53" s="25"/>
      <c r="AA53" s="25"/>
      <c r="AB53" s="25"/>
      <c r="AC53" s="25"/>
      <c r="AD53" s="25"/>
      <c r="AE53" s="25"/>
      <c r="AF53" s="25"/>
      <c r="AG53" s="25">
        <v>112500</v>
      </c>
      <c r="AH53" s="25"/>
      <c r="AI53" s="25"/>
      <c r="AJ53" s="25">
        <v>81406</v>
      </c>
      <c r="AK53" s="25"/>
      <c r="AL53" s="25">
        <f t="shared" si="4"/>
        <v>1924823</v>
      </c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>
        <f t="shared" si="1"/>
        <v>0</v>
      </c>
    </row>
    <row r="54" spans="1:64" ht="74.25" customHeight="1">
      <c r="A54" s="22" t="s">
        <v>67</v>
      </c>
      <c r="B54" s="23" t="s">
        <v>108</v>
      </c>
      <c r="C54" s="24"/>
      <c r="D54" s="24"/>
      <c r="E54" s="24"/>
      <c r="F54" s="24"/>
      <c r="G54" s="24"/>
      <c r="H54" s="25"/>
      <c r="I54" s="25">
        <v>11470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>
        <v>25048</v>
      </c>
      <c r="AK54" s="25"/>
      <c r="AL54" s="25">
        <f t="shared" si="4"/>
        <v>36518</v>
      </c>
      <c r="AM54" s="25"/>
      <c r="AN54" s="25"/>
      <c r="AO54" s="25"/>
      <c r="AP54" s="25">
        <v>1500000</v>
      </c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>
        <f t="shared" si="1"/>
        <v>1500000</v>
      </c>
    </row>
    <row r="55" spans="1:64" ht="74.25" customHeight="1">
      <c r="A55" s="22" t="s">
        <v>145</v>
      </c>
      <c r="B55" s="23" t="s">
        <v>136</v>
      </c>
      <c r="C55" s="25"/>
      <c r="D55" s="25"/>
      <c r="E55" s="25"/>
      <c r="F55" s="25"/>
      <c r="G55" s="25"/>
      <c r="H55" s="25"/>
      <c r="I55" s="25">
        <v>15191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7"/>
      <c r="U55" s="27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>
        <v>90000</v>
      </c>
      <c r="AH55" s="25"/>
      <c r="AI55" s="25"/>
      <c r="AJ55" s="25">
        <v>18786</v>
      </c>
      <c r="AK55" s="25"/>
      <c r="AL55" s="25">
        <f t="shared" si="4"/>
        <v>123977</v>
      </c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>
        <f t="shared" si="1"/>
        <v>0</v>
      </c>
    </row>
    <row r="56" spans="1:64" ht="74.25" customHeight="1">
      <c r="A56" s="22" t="s">
        <v>146</v>
      </c>
      <c r="B56" s="23" t="s">
        <v>186</v>
      </c>
      <c r="C56" s="25"/>
      <c r="D56" s="25"/>
      <c r="E56" s="25"/>
      <c r="F56" s="25"/>
      <c r="G56" s="25"/>
      <c r="H56" s="25"/>
      <c r="I56" s="25">
        <v>8847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7"/>
      <c r="U56" s="27"/>
      <c r="V56" s="25"/>
      <c r="W56" s="25">
        <v>15400</v>
      </c>
      <c r="X56" s="25"/>
      <c r="Y56" s="25"/>
      <c r="Z56" s="25"/>
      <c r="AA56" s="25"/>
      <c r="AB56" s="25"/>
      <c r="AC56" s="25"/>
      <c r="AD56" s="25"/>
      <c r="AE56" s="25">
        <v>36970</v>
      </c>
      <c r="AF56" s="25"/>
      <c r="AG56" s="25">
        <v>100000</v>
      </c>
      <c r="AH56" s="25"/>
      <c r="AI56" s="25"/>
      <c r="AJ56" s="25">
        <v>25048</v>
      </c>
      <c r="AK56" s="25"/>
      <c r="AL56" s="25">
        <f t="shared" si="4"/>
        <v>186265</v>
      </c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>
        <f t="shared" si="1"/>
        <v>0</v>
      </c>
    </row>
    <row r="57" spans="1:64" ht="74.25" customHeight="1">
      <c r="A57" s="22" t="s">
        <v>147</v>
      </c>
      <c r="B57" s="23" t="s">
        <v>187</v>
      </c>
      <c r="C57" s="25"/>
      <c r="D57" s="25"/>
      <c r="E57" s="25"/>
      <c r="F57" s="25"/>
      <c r="G57" s="25"/>
      <c r="H57" s="25"/>
      <c r="I57" s="25">
        <v>5358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7"/>
      <c r="U57" s="27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>
        <f>750000</f>
        <v>750000</v>
      </c>
      <c r="AI57" s="25"/>
      <c r="AJ57" s="25">
        <v>25048</v>
      </c>
      <c r="AK57" s="25"/>
      <c r="AL57" s="25">
        <f t="shared" si="4"/>
        <v>780406</v>
      </c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>
        <f t="shared" si="1"/>
        <v>0</v>
      </c>
    </row>
    <row r="58" spans="1:64" ht="74.25" customHeight="1">
      <c r="A58" s="22" t="s">
        <v>148</v>
      </c>
      <c r="B58" s="23" t="s">
        <v>137</v>
      </c>
      <c r="C58" s="25"/>
      <c r="D58" s="25"/>
      <c r="E58" s="25"/>
      <c r="F58" s="25"/>
      <c r="G58" s="25"/>
      <c r="H58" s="25"/>
      <c r="I58" s="25">
        <v>30636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7"/>
      <c r="U58" s="27"/>
      <c r="V58" s="25"/>
      <c r="W58" s="25">
        <f>50000+166600+166800</f>
        <v>383400</v>
      </c>
      <c r="X58" s="25"/>
      <c r="Y58" s="25"/>
      <c r="Z58" s="25"/>
      <c r="AA58" s="25"/>
      <c r="AB58" s="25"/>
      <c r="AC58" s="25"/>
      <c r="AD58" s="25"/>
      <c r="AE58" s="25">
        <f>100000</f>
        <v>100000</v>
      </c>
      <c r="AF58" s="25"/>
      <c r="AG58" s="25"/>
      <c r="AH58" s="25"/>
      <c r="AI58" s="25"/>
      <c r="AJ58" s="25">
        <v>37572</v>
      </c>
      <c r="AK58" s="25"/>
      <c r="AL58" s="25">
        <f t="shared" si="4"/>
        <v>551608</v>
      </c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>
        <f t="shared" si="1"/>
        <v>0</v>
      </c>
    </row>
    <row r="59" spans="1:64" ht="74.25" customHeight="1">
      <c r="A59" s="22" t="s">
        <v>149</v>
      </c>
      <c r="B59" s="23" t="s">
        <v>138</v>
      </c>
      <c r="C59" s="25"/>
      <c r="D59" s="25"/>
      <c r="E59" s="25"/>
      <c r="F59" s="25"/>
      <c r="G59" s="25"/>
      <c r="H59" s="25"/>
      <c r="I59" s="25">
        <v>11348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7"/>
      <c r="U59" s="27"/>
      <c r="V59" s="25"/>
      <c r="W59" s="25">
        <f>16600+116600+33320+186800</f>
        <v>353320</v>
      </c>
      <c r="X59" s="25"/>
      <c r="Y59" s="25"/>
      <c r="Z59" s="25"/>
      <c r="AA59" s="25"/>
      <c r="AB59" s="25"/>
      <c r="AC59" s="25"/>
      <c r="AD59" s="25"/>
      <c r="AE59" s="25"/>
      <c r="AF59" s="25"/>
      <c r="AG59" s="25">
        <v>37500</v>
      </c>
      <c r="AH59" s="25"/>
      <c r="AI59" s="25"/>
      <c r="AJ59" s="25">
        <v>25048</v>
      </c>
      <c r="AK59" s="25"/>
      <c r="AL59" s="25">
        <f t="shared" si="4"/>
        <v>427216</v>
      </c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>
        <f t="shared" si="1"/>
        <v>0</v>
      </c>
    </row>
    <row r="60" spans="1:64" ht="74.25" customHeight="1">
      <c r="A60" s="22" t="s">
        <v>150</v>
      </c>
      <c r="B60" s="23" t="s">
        <v>139</v>
      </c>
      <c r="C60" s="25"/>
      <c r="D60" s="25"/>
      <c r="E60" s="25"/>
      <c r="F60" s="25"/>
      <c r="G60" s="25"/>
      <c r="H60" s="25"/>
      <c r="I60" s="25">
        <v>3405</v>
      </c>
      <c r="J60" s="25"/>
      <c r="K60" s="25"/>
      <c r="L60" s="25">
        <f>5332800</f>
        <v>5332800</v>
      </c>
      <c r="M60" s="25"/>
      <c r="N60" s="25"/>
      <c r="O60" s="25"/>
      <c r="P60" s="25"/>
      <c r="Q60" s="25"/>
      <c r="R60" s="25"/>
      <c r="S60" s="25"/>
      <c r="T60" s="27"/>
      <c r="U60" s="27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>
        <v>150000</v>
      </c>
      <c r="AH60" s="25"/>
      <c r="AI60" s="25"/>
      <c r="AJ60" s="25">
        <v>12524</v>
      </c>
      <c r="AK60" s="25"/>
      <c r="AL60" s="25">
        <f t="shared" si="4"/>
        <v>5498729</v>
      </c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>
        <f t="shared" si="1"/>
        <v>0</v>
      </c>
    </row>
    <row r="61" spans="1:64" ht="74.25" customHeight="1">
      <c r="A61" s="22" t="s">
        <v>151</v>
      </c>
      <c r="B61" s="23" t="s">
        <v>140</v>
      </c>
      <c r="C61" s="25"/>
      <c r="D61" s="25"/>
      <c r="E61" s="25"/>
      <c r="F61" s="25"/>
      <c r="G61" s="25"/>
      <c r="H61" s="25"/>
      <c r="I61" s="25">
        <v>7700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7"/>
      <c r="U61" s="27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>
        <v>12524</v>
      </c>
      <c r="AK61" s="25"/>
      <c r="AL61" s="25">
        <f t="shared" si="4"/>
        <v>20224</v>
      </c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>
        <f t="shared" si="1"/>
        <v>0</v>
      </c>
    </row>
    <row r="62" spans="1:64" ht="74.25" customHeight="1">
      <c r="A62" s="22" t="s">
        <v>152</v>
      </c>
      <c r="B62" s="23" t="s">
        <v>141</v>
      </c>
      <c r="C62" s="25"/>
      <c r="D62" s="25"/>
      <c r="E62" s="25"/>
      <c r="F62" s="25"/>
      <c r="G62" s="25"/>
      <c r="H62" s="25"/>
      <c r="I62" s="25">
        <v>9555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7"/>
      <c r="U62" s="27"/>
      <c r="V62" s="25"/>
      <c r="W62" s="25">
        <f>28900+8000</f>
        <v>36900</v>
      </c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>
        <v>12524</v>
      </c>
      <c r="AK62" s="25"/>
      <c r="AL62" s="25">
        <f t="shared" si="4"/>
        <v>58979</v>
      </c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>
        <f t="shared" si="1"/>
        <v>0</v>
      </c>
    </row>
    <row r="63" spans="1:64" ht="74.25" customHeight="1">
      <c r="A63" s="22" t="s">
        <v>30</v>
      </c>
      <c r="B63" s="23" t="s">
        <v>107</v>
      </c>
      <c r="C63" s="24"/>
      <c r="D63" s="24"/>
      <c r="E63" s="24"/>
      <c r="F63" s="24"/>
      <c r="G63" s="24"/>
      <c r="H63" s="25"/>
      <c r="I63" s="25">
        <v>11983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>
        <v>0</v>
      </c>
      <c r="W63" s="25">
        <f>50000+100000+100000</f>
        <v>250000</v>
      </c>
      <c r="X63" s="25"/>
      <c r="Y63" s="25">
        <v>250000</v>
      </c>
      <c r="Z63" s="25"/>
      <c r="AA63" s="25"/>
      <c r="AB63" s="25">
        <f>4000000-4000000</f>
        <v>0</v>
      </c>
      <c r="AC63" s="25">
        <f>9000000-777226</f>
        <v>8222774</v>
      </c>
      <c r="AD63" s="25"/>
      <c r="AE63" s="25">
        <v>50000</v>
      </c>
      <c r="AF63" s="25">
        <f>250000-250000</f>
        <v>0</v>
      </c>
      <c r="AG63" s="25"/>
      <c r="AH63" s="25"/>
      <c r="AI63" s="25"/>
      <c r="AJ63" s="25">
        <v>18786</v>
      </c>
      <c r="AK63" s="25"/>
      <c r="AL63" s="25">
        <f t="shared" si="4"/>
        <v>8803543</v>
      </c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>
        <f t="shared" si="1"/>
        <v>0</v>
      </c>
    </row>
    <row r="64" spans="1:64" ht="74.25" customHeight="1">
      <c r="A64" s="22" t="s">
        <v>153</v>
      </c>
      <c r="B64" s="23" t="s">
        <v>142</v>
      </c>
      <c r="C64" s="25"/>
      <c r="D64" s="25"/>
      <c r="E64" s="25"/>
      <c r="F64" s="25"/>
      <c r="G64" s="25"/>
      <c r="H64" s="25"/>
      <c r="I64" s="25">
        <v>6492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7"/>
      <c r="U64" s="27"/>
      <c r="V64" s="25"/>
      <c r="W64" s="25">
        <f>3500+21000</f>
        <v>24500</v>
      </c>
      <c r="X64" s="25"/>
      <c r="Y64" s="25"/>
      <c r="Z64" s="25"/>
      <c r="AA64" s="25"/>
      <c r="AB64" s="25"/>
      <c r="AC64" s="25"/>
      <c r="AD64" s="25"/>
      <c r="AE64" s="25">
        <v>14250</v>
      </c>
      <c r="AF64" s="25"/>
      <c r="AG64" s="25">
        <v>100000</v>
      </c>
      <c r="AH64" s="25">
        <f>150000</f>
        <v>150000</v>
      </c>
      <c r="AI64" s="25"/>
      <c r="AJ64" s="25">
        <v>25048</v>
      </c>
      <c r="AK64" s="25"/>
      <c r="AL64" s="25">
        <f t="shared" si="4"/>
        <v>320290</v>
      </c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>
        <f t="shared" si="1"/>
        <v>0</v>
      </c>
    </row>
    <row r="65" spans="1:64" ht="74.25" customHeight="1">
      <c r="A65" s="22" t="s">
        <v>154</v>
      </c>
      <c r="B65" s="23" t="s">
        <v>143</v>
      </c>
      <c r="C65" s="25"/>
      <c r="D65" s="25"/>
      <c r="E65" s="25"/>
      <c r="F65" s="25"/>
      <c r="G65" s="25"/>
      <c r="H65" s="25"/>
      <c r="I65" s="25">
        <v>30453</v>
      </c>
      <c r="J65" s="25">
        <v>1472428</v>
      </c>
      <c r="K65" s="25"/>
      <c r="L65" s="25"/>
      <c r="M65" s="25"/>
      <c r="N65" s="25"/>
      <c r="O65" s="25"/>
      <c r="P65" s="25"/>
      <c r="Q65" s="25"/>
      <c r="R65" s="25"/>
      <c r="S65" s="25"/>
      <c r="T65" s="27"/>
      <c r="U65" s="27"/>
      <c r="V65" s="25"/>
      <c r="W65" s="25">
        <f>6500</f>
        <v>6500</v>
      </c>
      <c r="X65" s="25"/>
      <c r="Y65" s="25"/>
      <c r="Z65" s="25"/>
      <c r="AA65" s="25"/>
      <c r="AB65" s="25"/>
      <c r="AC65" s="25"/>
      <c r="AD65" s="25"/>
      <c r="AE65" s="25">
        <v>6250</v>
      </c>
      <c r="AF65" s="25"/>
      <c r="AG65" s="25"/>
      <c r="AH65" s="25"/>
      <c r="AI65" s="25"/>
      <c r="AJ65" s="25">
        <v>43834</v>
      </c>
      <c r="AK65" s="25"/>
      <c r="AL65" s="25">
        <f t="shared" si="4"/>
        <v>1559465</v>
      </c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>
        <f>386000</f>
        <v>386000</v>
      </c>
      <c r="BG65" s="25"/>
      <c r="BH65" s="25"/>
      <c r="BI65" s="25"/>
      <c r="BJ65" s="25"/>
      <c r="BK65" s="25"/>
      <c r="BL65" s="25">
        <f t="shared" si="1"/>
        <v>386000</v>
      </c>
    </row>
    <row r="66" spans="1:64" ht="74.25" customHeight="1">
      <c r="A66" s="22" t="s">
        <v>31</v>
      </c>
      <c r="B66" s="23" t="s">
        <v>109</v>
      </c>
      <c r="C66" s="24"/>
      <c r="D66" s="24"/>
      <c r="E66" s="24"/>
      <c r="F66" s="24"/>
      <c r="G66" s="24"/>
      <c r="H66" s="25"/>
      <c r="I66" s="25">
        <v>10384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>
        <v>0</v>
      </c>
      <c r="W66" s="25">
        <f>33300+66600+66800</f>
        <v>166700</v>
      </c>
      <c r="X66" s="25"/>
      <c r="Y66" s="25"/>
      <c r="Z66" s="25"/>
      <c r="AA66" s="25"/>
      <c r="AB66" s="25"/>
      <c r="AC66" s="25">
        <v>5500000</v>
      </c>
      <c r="AD66" s="25"/>
      <c r="AE66" s="25">
        <v>33300</v>
      </c>
      <c r="AF66" s="25"/>
      <c r="AG66" s="25"/>
      <c r="AH66" s="25"/>
      <c r="AI66" s="25"/>
      <c r="AJ66" s="25">
        <v>12524</v>
      </c>
      <c r="AK66" s="25"/>
      <c r="AL66" s="25">
        <f t="shared" si="4"/>
        <v>5722908</v>
      </c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>
        <f t="shared" si="1"/>
        <v>0</v>
      </c>
    </row>
    <row r="67" spans="1:64" ht="74.25" customHeight="1">
      <c r="A67" s="22" t="s">
        <v>134</v>
      </c>
      <c r="B67" s="23" t="s">
        <v>171</v>
      </c>
      <c r="C67" s="24"/>
      <c r="D67" s="24"/>
      <c r="E67" s="24"/>
      <c r="F67" s="24"/>
      <c r="G67" s="24"/>
      <c r="H67" s="25"/>
      <c r="I67" s="25">
        <v>31575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>
        <v>12524</v>
      </c>
      <c r="AK67" s="25"/>
      <c r="AL67" s="25">
        <f t="shared" si="4"/>
        <v>44099</v>
      </c>
      <c r="AM67" s="25"/>
      <c r="AN67" s="25"/>
      <c r="AO67" s="25"/>
      <c r="AP67" s="25">
        <f>33000000+9700000</f>
        <v>42700000</v>
      </c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>
        <v>2000000</v>
      </c>
      <c r="BJ67" s="25"/>
      <c r="BK67" s="25"/>
      <c r="BL67" s="25">
        <f t="shared" si="1"/>
        <v>44700000</v>
      </c>
    </row>
    <row r="68" spans="1:64" ht="74.25" customHeight="1">
      <c r="A68" s="22"/>
      <c r="B68" s="23" t="s">
        <v>71</v>
      </c>
      <c r="C68" s="24">
        <f aca="true" t="shared" si="7" ref="C68:AK68">C53+C54+C55+C56+C57+C58+C59+C60+C61+C62+C63+C64+C65+C66+C67</f>
        <v>0</v>
      </c>
      <c r="D68" s="24">
        <f t="shared" si="7"/>
        <v>0</v>
      </c>
      <c r="E68" s="24">
        <f t="shared" si="7"/>
        <v>0</v>
      </c>
      <c r="F68" s="24">
        <f t="shared" si="7"/>
        <v>0</v>
      </c>
      <c r="G68" s="24">
        <f t="shared" si="7"/>
        <v>0</v>
      </c>
      <c r="H68" s="24">
        <f t="shared" si="7"/>
        <v>0</v>
      </c>
      <c r="I68" s="24">
        <f>I53+I54+I55+I56+I57+I58+I59+I60+I61+I62+I63+I64+I65+I66+I67</f>
        <v>239636</v>
      </c>
      <c r="J68" s="24">
        <f>J53+J54+J55+J56+J57+J58+J59+J60+J61+J62+J63+J64+J65+J66+J67</f>
        <v>2944856</v>
      </c>
      <c r="K68" s="24">
        <f>K53+K54+K55+K56+K57+K58+K59+K60+K61+K62+K63+K64+K65+K66+K67</f>
        <v>0</v>
      </c>
      <c r="L68" s="24">
        <f>L53+L54+L55+L56+L57+L58+L59+L60+L61+L62+L63+L64+L65+L66+L67</f>
        <v>5332800</v>
      </c>
      <c r="M68" s="24"/>
      <c r="N68" s="24">
        <f t="shared" si="7"/>
        <v>0</v>
      </c>
      <c r="O68" s="24">
        <f t="shared" si="7"/>
        <v>0</v>
      </c>
      <c r="P68" s="24">
        <f t="shared" si="7"/>
        <v>0</v>
      </c>
      <c r="Q68" s="24"/>
      <c r="R68" s="24"/>
      <c r="S68" s="24">
        <f t="shared" si="7"/>
        <v>0</v>
      </c>
      <c r="T68" s="24">
        <f t="shared" si="7"/>
        <v>0</v>
      </c>
      <c r="U68" s="24">
        <f t="shared" si="7"/>
        <v>0</v>
      </c>
      <c r="V68" s="24">
        <f t="shared" si="7"/>
        <v>0</v>
      </c>
      <c r="W68" s="24">
        <f>W53+W54+W55+W56+W57+W58+W59+W60+W61+W62+W63+W64+W65+W66+W67</f>
        <v>1449970</v>
      </c>
      <c r="X68" s="24">
        <f>X53+X54+X55+X56+X57+X58+X59+X60+X61+X62+X63+X64+X65+X66+X67</f>
        <v>0</v>
      </c>
      <c r="Y68" s="24">
        <f>Y53+Y54+Y55+Y56+Y57+Y58+Y59+Y60+Y61+Y62+Y63+Y64+Y65+Y66+Y67</f>
        <v>250000</v>
      </c>
      <c r="Z68" s="24">
        <f>Z53+Z54+Z55+Z56+Z57+Z58+Z59+Z60+Z61+Z62+Z63+Z64+Z65+Z66+Z67</f>
        <v>0</v>
      </c>
      <c r="AA68" s="24">
        <f t="shared" si="7"/>
        <v>0</v>
      </c>
      <c r="AB68" s="24">
        <f t="shared" si="7"/>
        <v>0</v>
      </c>
      <c r="AC68" s="24">
        <f t="shared" si="7"/>
        <v>13722774</v>
      </c>
      <c r="AD68" s="24">
        <f t="shared" si="7"/>
        <v>0</v>
      </c>
      <c r="AE68" s="24">
        <f t="shared" si="7"/>
        <v>240770</v>
      </c>
      <c r="AF68" s="24">
        <f t="shared" si="7"/>
        <v>0</v>
      </c>
      <c r="AG68" s="24">
        <f t="shared" si="7"/>
        <v>590000</v>
      </c>
      <c r="AH68" s="24">
        <f t="shared" si="7"/>
        <v>900000</v>
      </c>
      <c r="AI68" s="24">
        <f t="shared" si="7"/>
        <v>0</v>
      </c>
      <c r="AJ68" s="24">
        <f t="shared" si="7"/>
        <v>388244</v>
      </c>
      <c r="AK68" s="24">
        <f t="shared" si="7"/>
        <v>0</v>
      </c>
      <c r="AL68" s="25">
        <f t="shared" si="4"/>
        <v>26059050</v>
      </c>
      <c r="AM68" s="25"/>
      <c r="AN68" s="25"/>
      <c r="AO68" s="25">
        <f aca="true" t="shared" si="8" ref="AO68:BI68">AO53+AO54+AO55+AO56+AO57+AO58+AO59+AO60+AO61+AO62+AO63+AO64+AO65+AO66+AO67</f>
        <v>0</v>
      </c>
      <c r="AP68" s="25">
        <f t="shared" si="8"/>
        <v>44200000</v>
      </c>
      <c r="AQ68" s="25">
        <f t="shared" si="8"/>
        <v>0</v>
      </c>
      <c r="AR68" s="25">
        <f t="shared" si="8"/>
        <v>0</v>
      </c>
      <c r="AS68" s="25">
        <f t="shared" si="8"/>
        <v>0</v>
      </c>
      <c r="AT68" s="25">
        <f t="shared" si="8"/>
        <v>0</v>
      </c>
      <c r="AU68" s="25">
        <f t="shared" si="8"/>
        <v>0</v>
      </c>
      <c r="AV68" s="25">
        <f t="shared" si="8"/>
        <v>0</v>
      </c>
      <c r="AW68" s="25">
        <f t="shared" si="8"/>
        <v>0</v>
      </c>
      <c r="AX68" s="25">
        <f t="shared" si="8"/>
        <v>0</v>
      </c>
      <c r="AY68" s="25">
        <f t="shared" si="8"/>
        <v>0</v>
      </c>
      <c r="AZ68" s="25">
        <f t="shared" si="8"/>
        <v>0</v>
      </c>
      <c r="BA68" s="25">
        <f t="shared" si="8"/>
        <v>0</v>
      </c>
      <c r="BB68" s="25"/>
      <c r="BC68" s="25">
        <f t="shared" si="8"/>
        <v>0</v>
      </c>
      <c r="BD68" s="25">
        <f t="shared" si="8"/>
        <v>0</v>
      </c>
      <c r="BE68" s="25">
        <f t="shared" si="8"/>
        <v>0</v>
      </c>
      <c r="BF68" s="25">
        <f t="shared" si="8"/>
        <v>386000</v>
      </c>
      <c r="BG68" s="25">
        <f t="shared" si="8"/>
        <v>0</v>
      </c>
      <c r="BH68" s="25">
        <f t="shared" si="8"/>
        <v>0</v>
      </c>
      <c r="BI68" s="25">
        <f t="shared" si="8"/>
        <v>2000000</v>
      </c>
      <c r="BJ68" s="25">
        <f>BJ53+BJ54+BJ55+BJ56+BJ57+BJ58+BJ59+BJ60+BJ61+BJ62+BJ63+BJ64+BJ65+BJ66+BJ67</f>
        <v>0</v>
      </c>
      <c r="BK68" s="25">
        <f>BK53+BK54+BK55+BK56+BK57+BK58+BK59+BK60+BK61+BK62+BK63+BK64+BK65+BK66+BK67</f>
        <v>0</v>
      </c>
      <c r="BL68" s="25">
        <f t="shared" si="1"/>
        <v>46586000</v>
      </c>
    </row>
    <row r="69" spans="1:64" ht="119.25" customHeight="1">
      <c r="A69" s="22">
        <v>11100000000</v>
      </c>
      <c r="B69" s="23" t="s">
        <v>112</v>
      </c>
      <c r="C69" s="24"/>
      <c r="D69" s="24"/>
      <c r="E69" s="24"/>
      <c r="F69" s="24"/>
      <c r="G69" s="24"/>
      <c r="H69" s="24"/>
      <c r="I69" s="25"/>
      <c r="J69" s="25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5">
        <f t="shared" si="4"/>
        <v>0</v>
      </c>
      <c r="AM69" s="25"/>
      <c r="AN69" s="25"/>
      <c r="AO69" s="25">
        <v>205000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>
        <f t="shared" si="1"/>
        <v>205000</v>
      </c>
    </row>
    <row r="70" spans="1:64" ht="119.25" customHeight="1">
      <c r="A70" s="22"/>
      <c r="B70" s="23" t="s">
        <v>174</v>
      </c>
      <c r="C70" s="24"/>
      <c r="D70" s="24"/>
      <c r="E70" s="24"/>
      <c r="F70" s="24"/>
      <c r="G70" s="24"/>
      <c r="H70" s="24"/>
      <c r="I70" s="25"/>
      <c r="J70" s="25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5">
        <f t="shared" si="4"/>
        <v>0</v>
      </c>
      <c r="AM70" s="25"/>
      <c r="AN70" s="25">
        <v>2941400</v>
      </c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>
        <f t="shared" si="1"/>
        <v>2941400</v>
      </c>
    </row>
    <row r="71" spans="1:64" s="28" customFormat="1" ht="74.25" customHeight="1">
      <c r="A71" s="22" t="s">
        <v>25</v>
      </c>
      <c r="B71" s="23" t="s">
        <v>26</v>
      </c>
      <c r="C71" s="24"/>
      <c r="D71" s="24"/>
      <c r="E71" s="24"/>
      <c r="F71" s="24"/>
      <c r="G71" s="24"/>
      <c r="H71" s="25"/>
      <c r="I71" s="25"/>
      <c r="J71" s="25"/>
      <c r="K71" s="25"/>
      <c r="L71" s="25"/>
      <c r="M71" s="25">
        <v>25511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>
        <f>500000-500000</f>
        <v>0</v>
      </c>
      <c r="AL71" s="25">
        <f t="shared" si="4"/>
        <v>25511</v>
      </c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>
        <f t="shared" si="1"/>
        <v>0</v>
      </c>
    </row>
    <row r="72" spans="1:64" s="28" customFormat="1" ht="74.25" customHeight="1">
      <c r="A72" s="22"/>
      <c r="B72" s="23" t="s">
        <v>27</v>
      </c>
      <c r="C72" s="24">
        <f>391384500+664400</f>
        <v>392048900</v>
      </c>
      <c r="D72" s="24"/>
      <c r="E72" s="24"/>
      <c r="F72" s="24"/>
      <c r="G72" s="24"/>
      <c r="H72" s="25"/>
      <c r="I72" s="25"/>
      <c r="J72" s="25"/>
      <c r="K72" s="25"/>
      <c r="L72" s="25"/>
      <c r="M72" s="25"/>
      <c r="N72" s="25"/>
      <c r="O72" s="25"/>
      <c r="P72" s="25">
        <v>10000000</v>
      </c>
      <c r="Q72" s="25">
        <v>520000</v>
      </c>
      <c r="R72" s="25">
        <v>500000</v>
      </c>
      <c r="S72" s="25">
        <v>10000000</v>
      </c>
      <c r="T72" s="25">
        <f>48430000+2000000+18500000+1000000+14395600</f>
        <v>84325600</v>
      </c>
      <c r="U72" s="25">
        <v>5754500</v>
      </c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>
        <f t="shared" si="4"/>
        <v>503149000</v>
      </c>
      <c r="AM72" s="25"/>
      <c r="AN72" s="25">
        <v>1551668900</v>
      </c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>
        <f t="shared" si="1"/>
        <v>1551668900</v>
      </c>
    </row>
    <row r="73" spans="1:64" s="29" customFormat="1" ht="74.25" customHeight="1">
      <c r="A73" s="22"/>
      <c r="B73" s="23" t="s">
        <v>133</v>
      </c>
      <c r="C73" s="25">
        <f aca="true" t="shared" si="9" ref="C73:AK73">C28+C51+C71+C72+C68</f>
        <v>392048900</v>
      </c>
      <c r="D73" s="25">
        <f t="shared" si="9"/>
        <v>72025300</v>
      </c>
      <c r="E73" s="25">
        <f t="shared" si="9"/>
        <v>3245061500</v>
      </c>
      <c r="F73" s="25">
        <f t="shared" si="9"/>
        <v>2918875400</v>
      </c>
      <c r="G73" s="25">
        <f t="shared" si="9"/>
        <v>29876300</v>
      </c>
      <c r="H73" s="25">
        <f t="shared" si="9"/>
        <v>89889000</v>
      </c>
      <c r="I73" s="25">
        <f>I28+I51+I71+I72+I68</f>
        <v>5859073</v>
      </c>
      <c r="J73" s="25">
        <f>J28+J51+J71+J72+J68</f>
        <v>20614000</v>
      </c>
      <c r="K73" s="25">
        <f>K28+K51+K71+K72+K68</f>
        <v>198000</v>
      </c>
      <c r="L73" s="25">
        <f>L28+L51+L71+L72+L68</f>
        <v>30229676</v>
      </c>
      <c r="M73" s="25">
        <f>M28+M51+M71+M72+M68</f>
        <v>12835000</v>
      </c>
      <c r="N73" s="25">
        <f t="shared" si="9"/>
        <v>8470000</v>
      </c>
      <c r="O73" s="25">
        <f t="shared" si="9"/>
        <v>43200</v>
      </c>
      <c r="P73" s="25">
        <f t="shared" si="9"/>
        <v>10000000</v>
      </c>
      <c r="Q73" s="25">
        <f t="shared" si="9"/>
        <v>520000</v>
      </c>
      <c r="R73" s="25">
        <f t="shared" si="9"/>
        <v>500000</v>
      </c>
      <c r="S73" s="25">
        <f t="shared" si="9"/>
        <v>10000000</v>
      </c>
      <c r="T73" s="25">
        <f t="shared" si="9"/>
        <v>84325600</v>
      </c>
      <c r="U73" s="25">
        <f t="shared" si="9"/>
        <v>5754500</v>
      </c>
      <c r="V73" s="25">
        <f t="shared" si="9"/>
        <v>186254400</v>
      </c>
      <c r="W73" s="25">
        <f>W28+W51+W71+W72+W68</f>
        <v>49917997</v>
      </c>
      <c r="X73" s="25">
        <f t="shared" si="9"/>
        <v>1474890.06</v>
      </c>
      <c r="Y73" s="25">
        <f t="shared" si="9"/>
        <v>918171</v>
      </c>
      <c r="Z73" s="25">
        <f t="shared" si="9"/>
        <v>2100000</v>
      </c>
      <c r="AA73" s="25">
        <f t="shared" si="9"/>
        <v>2500000</v>
      </c>
      <c r="AB73" s="25">
        <f t="shared" si="9"/>
        <v>2841877</v>
      </c>
      <c r="AC73" s="25">
        <f t="shared" si="9"/>
        <v>39102063</v>
      </c>
      <c r="AD73" s="25">
        <f t="shared" si="9"/>
        <v>25000</v>
      </c>
      <c r="AE73" s="25">
        <f t="shared" si="9"/>
        <v>10082003</v>
      </c>
      <c r="AF73" s="25">
        <f t="shared" si="9"/>
        <v>4081829</v>
      </c>
      <c r="AG73" s="25">
        <f t="shared" si="9"/>
        <v>1400000</v>
      </c>
      <c r="AH73" s="25">
        <f t="shared" si="9"/>
        <v>3000000</v>
      </c>
      <c r="AI73" s="25">
        <f t="shared" si="9"/>
        <v>125192</v>
      </c>
      <c r="AJ73" s="25">
        <f t="shared" si="9"/>
        <v>2924424</v>
      </c>
      <c r="AK73" s="25">
        <f t="shared" si="9"/>
        <v>30775000</v>
      </c>
      <c r="AL73" s="25">
        <f t="shared" si="4"/>
        <v>7274605095.06</v>
      </c>
      <c r="AM73" s="25">
        <f>AM28+AM51+AM71+AM72+AM68+AM69+AM70</f>
        <v>755000</v>
      </c>
      <c r="AN73" s="25">
        <f>AN28+AN51+AN71+AN72+AN68+AN69+AN70</f>
        <v>1554610300</v>
      </c>
      <c r="AO73" s="25">
        <f>AO28+AO51+AO71+AO72+AO68+AO69+AO70</f>
        <v>369353.98</v>
      </c>
      <c r="AP73" s="25">
        <f aca="true" t="shared" si="10" ref="AP73:BI73">AP28+AP51+AP71+AP72+AP68+AP69</f>
        <v>113868899.50999999</v>
      </c>
      <c r="AQ73" s="25">
        <f t="shared" si="10"/>
        <v>68900</v>
      </c>
      <c r="AR73" s="25">
        <f t="shared" si="10"/>
        <v>100000</v>
      </c>
      <c r="AS73" s="25">
        <f t="shared" si="10"/>
        <v>526932</v>
      </c>
      <c r="AT73" s="25">
        <f t="shared" si="10"/>
        <v>2504261</v>
      </c>
      <c r="AU73" s="25">
        <f t="shared" si="10"/>
        <v>650000</v>
      </c>
      <c r="AV73" s="25">
        <f t="shared" si="10"/>
        <v>1891910</v>
      </c>
      <c r="AW73" s="25">
        <f t="shared" si="10"/>
        <v>2150000</v>
      </c>
      <c r="AX73" s="25">
        <f t="shared" si="10"/>
        <v>12050</v>
      </c>
      <c r="AY73" s="25">
        <f t="shared" si="10"/>
        <v>120000</v>
      </c>
      <c r="AZ73" s="25">
        <f t="shared" si="10"/>
        <v>2517121</v>
      </c>
      <c r="BA73" s="25">
        <f t="shared" si="10"/>
        <v>2285000</v>
      </c>
      <c r="BB73" s="25">
        <f t="shared" si="10"/>
        <v>553214</v>
      </c>
      <c r="BC73" s="25">
        <f t="shared" si="10"/>
        <v>728486</v>
      </c>
      <c r="BD73" s="25">
        <f t="shared" si="10"/>
        <v>1000000</v>
      </c>
      <c r="BE73" s="25">
        <f t="shared" si="10"/>
        <v>12843915.96</v>
      </c>
      <c r="BF73" s="25">
        <f t="shared" si="10"/>
        <v>8311876.6</v>
      </c>
      <c r="BG73" s="25">
        <f t="shared" si="10"/>
        <v>3511780</v>
      </c>
      <c r="BH73" s="25">
        <f t="shared" si="10"/>
        <v>1654917</v>
      </c>
      <c r="BI73" s="25">
        <f t="shared" si="10"/>
        <v>2000000</v>
      </c>
      <c r="BJ73" s="25">
        <f>BJ28+BJ51+BJ71+BJ72+BJ68+BJ69</f>
        <v>17900000</v>
      </c>
      <c r="BK73" s="25">
        <f>BK28+BK51+BK71+BK72+BK68+BK69</f>
        <v>9900000</v>
      </c>
      <c r="BL73" s="25">
        <f t="shared" si="1"/>
        <v>1730933917.05</v>
      </c>
    </row>
    <row r="74" spans="1:41" s="34" customFormat="1" ht="36" customHeight="1">
      <c r="A74" s="30"/>
      <c r="B74" s="31"/>
      <c r="C74" s="32"/>
      <c r="D74" s="32"/>
      <c r="E74" s="33"/>
      <c r="F74" s="33"/>
      <c r="G74" s="33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</row>
    <row r="75" spans="1:64" ht="20.25" customHeight="1">
      <c r="A75" s="35"/>
      <c r="B75" s="35"/>
      <c r="C75" s="36"/>
      <c r="D75" s="36"/>
      <c r="E75" s="33"/>
      <c r="F75" s="33"/>
      <c r="G75" s="33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8"/>
      <c r="U75" s="38"/>
      <c r="AC75" s="39"/>
      <c r="AD75" s="39"/>
      <c r="AE75" s="39"/>
      <c r="AF75" s="39"/>
      <c r="AG75" s="39"/>
      <c r="AH75" s="39"/>
      <c r="AI75" s="39"/>
      <c r="AJ75" s="39"/>
      <c r="AK75" s="39"/>
      <c r="AL75" s="50"/>
      <c r="AM75" s="50"/>
      <c r="AN75" s="50"/>
      <c r="AZ75" s="39"/>
      <c r="BL75" s="40"/>
    </row>
    <row r="76" spans="1:52" ht="65.25">
      <c r="A76" s="35"/>
      <c r="B76" s="35"/>
      <c r="C76" s="36"/>
      <c r="D76" s="36"/>
      <c r="E76" s="32"/>
      <c r="F76" s="32"/>
      <c r="G76" s="32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2"/>
      <c r="U76" s="42"/>
      <c r="AC76" s="39"/>
      <c r="AD76" s="39"/>
      <c r="AE76" s="39"/>
      <c r="AF76" s="39"/>
      <c r="AG76" s="39"/>
      <c r="AH76" s="39"/>
      <c r="AI76" s="39"/>
      <c r="AJ76" s="39"/>
      <c r="AK76" s="39"/>
      <c r="AL76" s="50"/>
      <c r="AM76" s="50"/>
      <c r="AN76" s="50"/>
      <c r="AO76" s="60"/>
      <c r="AP76" s="60"/>
      <c r="AQ76" s="39"/>
      <c r="AR76" s="39"/>
      <c r="AS76" s="39"/>
      <c r="AT76" s="39"/>
      <c r="AU76" s="39"/>
      <c r="AV76" s="39"/>
      <c r="AW76" s="39"/>
      <c r="AX76" s="39"/>
      <c r="AY76" s="39"/>
      <c r="AZ76" s="39"/>
    </row>
    <row r="77" spans="1:64" s="47" customFormat="1" ht="65.25" customHeight="1">
      <c r="A77" s="43"/>
      <c r="B77" s="43"/>
      <c r="C77" s="44"/>
      <c r="D77" s="44"/>
      <c r="E77" s="45"/>
      <c r="F77" s="45"/>
      <c r="G77" s="45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2"/>
      <c r="U77" s="42"/>
      <c r="W77" s="48"/>
      <c r="AC77" s="39"/>
      <c r="AD77" s="39"/>
      <c r="AE77" s="39"/>
      <c r="AF77" s="39"/>
      <c r="AG77" s="39"/>
      <c r="AH77" s="39"/>
      <c r="AI77" s="39"/>
      <c r="AJ77" s="39"/>
      <c r="AK77" s="39"/>
      <c r="AZ77" s="39"/>
      <c r="BA77" s="39"/>
      <c r="BB77" s="39"/>
      <c r="BF77" s="40"/>
      <c r="BG77" s="40"/>
      <c r="BI77" s="58" t="s">
        <v>181</v>
      </c>
      <c r="BJ77" s="58"/>
      <c r="BK77" s="39"/>
      <c r="BL77" s="40" t="s">
        <v>182</v>
      </c>
    </row>
    <row r="78" spans="8:19" ht="12.75"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</row>
    <row r="79" spans="8:19" ht="12.75"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</row>
    <row r="80" spans="8:19" ht="12.75"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</row>
    <row r="81" spans="8:19" ht="12.75"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</row>
    <row r="82" spans="8:19" ht="12.75"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</row>
    <row r="83" spans="8:19" ht="12.75"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</row>
    <row r="84" spans="8:19" ht="12.75"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</row>
    <row r="85" spans="8:19" ht="12.75"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</row>
    <row r="86" spans="8:19" ht="12.75"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</row>
    <row r="87" spans="8:19" ht="12.75"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</row>
    <row r="88" spans="8:19" ht="12.75"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8:19" ht="12.75"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</row>
    <row r="90" spans="8:19" ht="12.75"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</row>
    <row r="91" spans="8:19" ht="12.75"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</row>
    <row r="92" spans="8:19" ht="12.75"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</row>
    <row r="93" spans="8:19" ht="12.75"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</row>
    <row r="94" spans="8:19" ht="12.75"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</row>
    <row r="95" spans="8:19" ht="12.75"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</row>
    <row r="96" spans="8:19" ht="12.75"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</row>
    <row r="97" spans="8:19" ht="12.75"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</row>
    <row r="98" spans="8:19" ht="12.75"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</row>
    <row r="99" spans="8:19" ht="12.75"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</row>
    <row r="100" spans="8:19" ht="12.75"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</row>
    <row r="101" spans="8:19" ht="12.75"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</row>
    <row r="102" spans="8:19" ht="12.75"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</row>
    <row r="103" spans="8:19" ht="12.75"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</row>
    <row r="104" spans="8:19" ht="12.75"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</row>
    <row r="105" spans="8:19" ht="12.75"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</row>
    <row r="106" spans="8:19" ht="12.75"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</row>
    <row r="107" spans="8:19" ht="12.75"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</row>
    <row r="108" spans="8:19" ht="12.75"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</row>
    <row r="109" spans="8:19" ht="12.75"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</row>
    <row r="110" spans="8:19" ht="12.75"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</row>
    <row r="111" spans="8:19" ht="12.75"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</row>
    <row r="112" spans="8:19" ht="12.75"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</row>
    <row r="113" spans="8:19" ht="12.75"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</row>
    <row r="114" spans="8:19" ht="12.75"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</row>
    <row r="115" spans="8:19" ht="12.75"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</row>
    <row r="116" spans="8:19" ht="12.75"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</row>
    <row r="117" spans="8:19" ht="12.75"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</row>
    <row r="118" spans="8:19" ht="12.75"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</row>
    <row r="119" spans="8:19" ht="12.75"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</row>
    <row r="120" spans="8:19" ht="12.75"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</row>
    <row r="121" spans="8:19" ht="12.75"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</row>
    <row r="122" spans="8:19" ht="12.75"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</row>
    <row r="123" spans="8:19" ht="12.75"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</row>
    <row r="124" spans="8:19" ht="12.75"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</row>
    <row r="125" spans="8:19" ht="12.75"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</row>
    <row r="126" spans="8:19" ht="12.75"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</row>
    <row r="127" spans="8:19" ht="12.75"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</row>
    <row r="128" spans="8:19" ht="12.75"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</row>
    <row r="129" spans="8:19" ht="12.75"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</row>
    <row r="130" spans="8:19" ht="12.75"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</row>
    <row r="131" spans="8:19" ht="12.75"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</row>
    <row r="132" spans="8:19" ht="12.75"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</row>
    <row r="133" spans="8:19" ht="12.75"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</row>
    <row r="134" spans="8:19" ht="12.75"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</row>
    <row r="135" spans="8:19" ht="12.75"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</row>
    <row r="136" spans="8:19" ht="12.75"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</row>
    <row r="137" spans="8:19" ht="12.75"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</row>
    <row r="138" spans="8:19" ht="12.75"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</row>
    <row r="139" spans="8:19" ht="12.75"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</row>
    <row r="140" spans="8:19" ht="12.75"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</row>
    <row r="141" spans="8:19" ht="12.75"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</row>
    <row r="142" spans="8:19" ht="12.75"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</row>
    <row r="143" spans="8:19" ht="12.75"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</row>
    <row r="144" spans="8:19" ht="12.75"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</row>
    <row r="145" spans="8:19" ht="12.75"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</row>
    <row r="146" spans="8:19" ht="12.75"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</row>
    <row r="147" spans="8:19" ht="12.75"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</row>
    <row r="148" spans="8:19" ht="12.75"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</row>
    <row r="149" spans="8:19" ht="12.75"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</row>
    <row r="150" spans="8:19" ht="12.75"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</row>
    <row r="151" spans="8:19" ht="12.75"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</row>
    <row r="152" spans="8:19" ht="12.75"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</row>
    <row r="153" spans="8:19" ht="12.75"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</row>
    <row r="154" spans="8:19" ht="12.75"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</row>
    <row r="155" spans="8:19" ht="12.75"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</row>
    <row r="156" spans="8:19" ht="12.75"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</row>
    <row r="157" spans="8:19" ht="12.75"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</row>
    <row r="158" spans="8:19" ht="12.75"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</row>
    <row r="159" spans="8:19" ht="12.75"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</row>
    <row r="160" spans="8:19" ht="12.75"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</row>
    <row r="161" spans="8:19" ht="12.75"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</row>
    <row r="162" spans="8:19" ht="12.75"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</row>
    <row r="163" spans="8:19" ht="12.75"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</row>
    <row r="164" spans="8:19" ht="12.75"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</row>
    <row r="165" spans="8:19" ht="12.75"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</row>
    <row r="166" spans="8:19" ht="12.75"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</row>
    <row r="167" spans="8:19" ht="12.75"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</row>
    <row r="168" spans="8:19" ht="12.75"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</row>
    <row r="169" spans="8:19" ht="12.75"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</row>
    <row r="170" spans="8:19" ht="12.75"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</row>
    <row r="171" spans="8:19" ht="12.75"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</row>
    <row r="172" spans="8:19" ht="12.75"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</row>
    <row r="173" spans="8:19" ht="12.75"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</row>
    <row r="174" spans="8:19" ht="12.75"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</row>
    <row r="175" spans="8:19" ht="12.75"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</row>
    <row r="176" spans="8:19" ht="12.75"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</row>
    <row r="177" spans="8:19" ht="12.75"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</row>
    <row r="178" spans="8:19" ht="12.75"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</row>
    <row r="179" spans="8:19" ht="12.75"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</row>
    <row r="180" spans="8:19" ht="12.75"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</row>
    <row r="181" spans="8:19" ht="12.75"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</row>
    <row r="182" spans="8:19" ht="12.75"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</row>
    <row r="183" spans="8:19" ht="12.75"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</row>
    <row r="184" spans="8:19" ht="12.75"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</row>
    <row r="185" spans="8:19" ht="12.75"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</row>
    <row r="186" spans="8:19" ht="12.75"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</row>
    <row r="187" spans="8:19" ht="12.75"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</row>
    <row r="188" spans="8:19" ht="12.75"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</row>
    <row r="189" spans="8:19" ht="12.75"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</row>
    <row r="190" spans="8:19" ht="12.75"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</row>
    <row r="191" spans="8:19" ht="12.75"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</row>
    <row r="192" spans="8:19" ht="12.75"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</row>
    <row r="193" spans="8:19" ht="12.75"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</row>
    <row r="194" spans="8:19" ht="12.75"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</row>
    <row r="195" spans="8:19" ht="12.75"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</row>
    <row r="196" spans="8:19" ht="12.75"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</row>
    <row r="197" spans="8:19" ht="12.75"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</row>
    <row r="198" spans="8:19" ht="12.75"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</row>
    <row r="199" spans="8:19" ht="12.75"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</row>
    <row r="200" spans="8:19" ht="12.75"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</row>
    <row r="201" spans="8:19" ht="12.75"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</row>
    <row r="202" spans="8:19" ht="12.75"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</row>
    <row r="203" spans="8:19" ht="12.75"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</row>
    <row r="204" spans="8:19" ht="12.75"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</row>
    <row r="205" spans="8:19" ht="12.75"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</row>
    <row r="206" spans="8:19" ht="12.75"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</row>
    <row r="207" spans="8:19" ht="12.75"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</row>
    <row r="208" spans="8:19" ht="12.75"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</row>
    <row r="209" spans="8:19" ht="12.75"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</row>
    <row r="210" spans="8:19" ht="12.75"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</row>
  </sheetData>
  <sheetProtection selectLockedCells="1" selectUnlockedCells="1"/>
  <mergeCells count="111">
    <mergeCell ref="X12:X14"/>
    <mergeCell ref="S12:S14"/>
    <mergeCell ref="W12:W14"/>
    <mergeCell ref="AV12:AV14"/>
    <mergeCell ref="AM12:AM14"/>
    <mergeCell ref="AA12:AA14"/>
    <mergeCell ref="P12:P14"/>
    <mergeCell ref="V12:V14"/>
    <mergeCell ref="T12:T14"/>
    <mergeCell ref="Q12:Q14"/>
    <mergeCell ref="R12:R14"/>
    <mergeCell ref="U12:U14"/>
    <mergeCell ref="BJ8:BK8"/>
    <mergeCell ref="BJ12:BJ14"/>
    <mergeCell ref="BK13:BK14"/>
    <mergeCell ref="BI10:BK10"/>
    <mergeCell ref="BI11:BK11"/>
    <mergeCell ref="BJ9:BK9"/>
    <mergeCell ref="AH11:AK11"/>
    <mergeCell ref="AJ12:AJ14"/>
    <mergeCell ref="BG12:BG14"/>
    <mergeCell ref="AZ11:BH11"/>
    <mergeCell ref="AT8:AY8"/>
    <mergeCell ref="AT9:AY9"/>
    <mergeCell ref="AT10:AY10"/>
    <mergeCell ref="BD12:BD14"/>
    <mergeCell ref="AX12:AX14"/>
    <mergeCell ref="AY12:AY14"/>
    <mergeCell ref="AZ8:BH8"/>
    <mergeCell ref="BA9:BH9"/>
    <mergeCell ref="AZ10:BH10"/>
    <mergeCell ref="AM8:AS8"/>
    <mergeCell ref="AU12:AU14"/>
    <mergeCell ref="AN12:AN14"/>
    <mergeCell ref="I10:O10"/>
    <mergeCell ref="J13:J14"/>
    <mergeCell ref="I12:J12"/>
    <mergeCell ref="I11:J11"/>
    <mergeCell ref="N12:N14"/>
    <mergeCell ref="O13:O14"/>
    <mergeCell ref="M12:M14"/>
    <mergeCell ref="I13:I14"/>
    <mergeCell ref="K12:K14"/>
    <mergeCell ref="A8:A14"/>
    <mergeCell ref="B8:B14"/>
    <mergeCell ref="C12:C14"/>
    <mergeCell ref="E12:E14"/>
    <mergeCell ref="D12:D14"/>
    <mergeCell ref="E10:G10"/>
    <mergeCell ref="F12:F14"/>
    <mergeCell ref="D8:H8"/>
    <mergeCell ref="G12:G14"/>
    <mergeCell ref="H12:H14"/>
    <mergeCell ref="BL8:BL14"/>
    <mergeCell ref="AP12:AP14"/>
    <mergeCell ref="AZ12:BA14"/>
    <mergeCell ref="AQ12:AQ14"/>
    <mergeCell ref="AW12:AW14"/>
    <mergeCell ref="BF12:BF14"/>
    <mergeCell ref="AR12:AR14"/>
    <mergeCell ref="BI12:BI14"/>
    <mergeCell ref="AQ9:AS9"/>
    <mergeCell ref="BB12:BB14"/>
    <mergeCell ref="AB11:AG11"/>
    <mergeCell ref="AB12:AB14"/>
    <mergeCell ref="AG12:AG14"/>
    <mergeCell ref="AD12:AD14"/>
    <mergeCell ref="Z12:Z14"/>
    <mergeCell ref="L12:L14"/>
    <mergeCell ref="W11:AA11"/>
    <mergeCell ref="Y12:Y14"/>
    <mergeCell ref="AC12:AC14"/>
    <mergeCell ref="N11:O11"/>
    <mergeCell ref="C4:H4"/>
    <mergeCell ref="C5:H5"/>
    <mergeCell ref="W8:AA8"/>
    <mergeCell ref="W9:AA9"/>
    <mergeCell ref="I8:O8"/>
    <mergeCell ref="S9:U9"/>
    <mergeCell ref="I9:O9"/>
    <mergeCell ref="P8:U8"/>
    <mergeCell ref="P9:R9"/>
    <mergeCell ref="C9:H9"/>
    <mergeCell ref="AB8:AG8"/>
    <mergeCell ref="AL8:AL14"/>
    <mergeCell ref="AH8:AK8"/>
    <mergeCell ref="AH10:AK10"/>
    <mergeCell ref="AB10:AG10"/>
    <mergeCell ref="AK12:AK14"/>
    <mergeCell ref="AF12:AF14"/>
    <mergeCell ref="AE12:AE14"/>
    <mergeCell ref="AH12:AH14"/>
    <mergeCell ref="AI12:AI14"/>
    <mergeCell ref="P10:U10"/>
    <mergeCell ref="P11:U11"/>
    <mergeCell ref="AT11:AY11"/>
    <mergeCell ref="AM9:AO9"/>
    <mergeCell ref="AN10:AO10"/>
    <mergeCell ref="AQ10:AS10"/>
    <mergeCell ref="AQ11:AS11"/>
    <mergeCell ref="AB9:AG9"/>
    <mergeCell ref="W10:AA10"/>
    <mergeCell ref="AH9:AK9"/>
    <mergeCell ref="BI77:BJ77"/>
    <mergeCell ref="BE12:BE14"/>
    <mergeCell ref="BC12:BC14"/>
    <mergeCell ref="BH12:BH14"/>
    <mergeCell ref="AO76:AP76"/>
    <mergeCell ref="AT12:AT14"/>
    <mergeCell ref="AS12:AS14"/>
    <mergeCell ref="AO12:AO14"/>
  </mergeCells>
  <printOptions horizontalCentered="1"/>
  <pageMargins left="0.984251968503937" right="0.3937007874015748" top="0.7874015748031497" bottom="1.1811023622047245" header="0.3937007874015748" footer="0.5118110236220472"/>
  <pageSetup horizontalDpi="300" verticalDpi="300" orientation="portrait" paperSize="9" scale="11" r:id="rId1"/>
  <headerFooter differentFirst="1" alignWithMargins="0">
    <oddHeader>&amp;C&amp;"Times New Roman,обычный"&amp;54&amp;P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РАДА1</cp:lastModifiedBy>
  <cp:lastPrinted>2016-11-30T11:02:00Z</cp:lastPrinted>
  <dcterms:created xsi:type="dcterms:W3CDTF">2015-09-22T09:14:37Z</dcterms:created>
  <dcterms:modified xsi:type="dcterms:W3CDTF">2016-12-06T15:13:22Z</dcterms:modified>
  <cp:category/>
  <cp:version/>
  <cp:contentType/>
  <cp:contentStatus/>
</cp:coreProperties>
</file>