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612"/>
  </bookViews>
  <sheets>
    <sheet name="Дод 4" sheetId="5" r:id="rId1"/>
  </sheets>
  <definedNames>
    <definedName name="_xlnm.Print_Titles" localSheetId="0">'Дод 4'!$A:$B,'Дод 4'!$5:$11</definedName>
    <definedName name="_xlnm.Print_Area" localSheetId="0">'Дод 4'!$A$1:$BE$93</definedName>
  </definedNames>
  <calcPr calcId="145621"/>
</workbook>
</file>

<file path=xl/calcChain.xml><?xml version="1.0" encoding="utf-8"?>
<calcChain xmlns="http://schemas.openxmlformats.org/spreadsheetml/2006/main">
  <c r="AB74" i="5" l="1"/>
  <c r="AB43" i="5"/>
  <c r="AB75" i="5"/>
  <c r="AB65" i="5"/>
  <c r="AW29" i="5"/>
  <c r="AM29" i="5"/>
  <c r="AB46" i="5"/>
  <c r="AB42" i="5"/>
  <c r="AB16" i="5"/>
  <c r="E13" i="5"/>
  <c r="K13" i="5"/>
  <c r="AI13" i="5"/>
  <c r="E14" i="5"/>
  <c r="K14" i="5"/>
  <c r="AB14" i="5"/>
  <c r="AI14" i="5"/>
  <c r="E15" i="5"/>
  <c r="K15" i="5"/>
  <c r="AI15" i="5" s="1"/>
  <c r="E16" i="5"/>
  <c r="K16" i="5"/>
  <c r="AI16" i="5" s="1"/>
  <c r="E17" i="5"/>
  <c r="K17" i="5"/>
  <c r="AI17" i="5" s="1"/>
  <c r="E18" i="5"/>
  <c r="AI18" i="5" s="1"/>
  <c r="K18" i="5"/>
  <c r="AB18" i="5"/>
  <c r="E19" i="5"/>
  <c r="K19" i="5"/>
  <c r="E20" i="5"/>
  <c r="K20" i="5"/>
  <c r="AB20" i="5"/>
  <c r="E21" i="5"/>
  <c r="K21" i="5"/>
  <c r="AI21" i="5" s="1"/>
  <c r="E22" i="5"/>
  <c r="K22" i="5"/>
  <c r="E23" i="5"/>
  <c r="K23" i="5"/>
  <c r="AB23" i="5"/>
  <c r="E24" i="5"/>
  <c r="K24" i="5"/>
  <c r="AI24" i="5" s="1"/>
  <c r="C25" i="5"/>
  <c r="D25" i="5"/>
  <c r="E12" i="5"/>
  <c r="E25" i="5" s="1"/>
  <c r="E89" i="5" s="1"/>
  <c r="F25" i="5"/>
  <c r="G25" i="5"/>
  <c r="H25" i="5"/>
  <c r="I25" i="5"/>
  <c r="J25" i="5"/>
  <c r="K12" i="5"/>
  <c r="K25" i="5" s="1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H25" i="5"/>
  <c r="E26" i="5"/>
  <c r="K26" i="5"/>
  <c r="E27" i="5"/>
  <c r="K27" i="5"/>
  <c r="AD27" i="5"/>
  <c r="E28" i="5"/>
  <c r="K28" i="5"/>
  <c r="AB28" i="5"/>
  <c r="AD28" i="5"/>
  <c r="AE28" i="5"/>
  <c r="E29" i="5"/>
  <c r="K29" i="5"/>
  <c r="AB29" i="5"/>
  <c r="AD29" i="5"/>
  <c r="AI29" i="5"/>
  <c r="E30" i="5"/>
  <c r="K30" i="5"/>
  <c r="AB30" i="5"/>
  <c r="AD30" i="5"/>
  <c r="E31" i="5"/>
  <c r="K31" i="5"/>
  <c r="AD31" i="5"/>
  <c r="E32" i="5"/>
  <c r="K32" i="5"/>
  <c r="AD32" i="5"/>
  <c r="E33" i="5"/>
  <c r="K33" i="5"/>
  <c r="AI33" i="5" s="1"/>
  <c r="AB33" i="5"/>
  <c r="AD33" i="5"/>
  <c r="E34" i="5"/>
  <c r="AI34" i="5" s="1"/>
  <c r="K34" i="5"/>
  <c r="AD34" i="5"/>
  <c r="E35" i="5"/>
  <c r="K35" i="5"/>
  <c r="AD35" i="5"/>
  <c r="AI35" i="5"/>
  <c r="E36" i="5"/>
  <c r="K36" i="5"/>
  <c r="AB36" i="5"/>
  <c r="AD36" i="5"/>
  <c r="AE36" i="5"/>
  <c r="AF36" i="5"/>
  <c r="E37" i="5"/>
  <c r="K37" i="5"/>
  <c r="AI37" i="5" s="1"/>
  <c r="AB37" i="5"/>
  <c r="AD37" i="5"/>
  <c r="E38" i="5"/>
  <c r="K38" i="5"/>
  <c r="AB38" i="5"/>
  <c r="AD38" i="5"/>
  <c r="E39" i="5"/>
  <c r="K39" i="5"/>
  <c r="AA39" i="5"/>
  <c r="AB39" i="5"/>
  <c r="AD39" i="5"/>
  <c r="E40" i="5"/>
  <c r="K40" i="5"/>
  <c r="AB40" i="5"/>
  <c r="AD40" i="5"/>
  <c r="AE40" i="5"/>
  <c r="E41" i="5"/>
  <c r="K41" i="5"/>
  <c r="AB41" i="5"/>
  <c r="AD41" i="5"/>
  <c r="AI41" i="5"/>
  <c r="E42" i="5"/>
  <c r="K42" i="5"/>
  <c r="AA42" i="5"/>
  <c r="AD42" i="5"/>
  <c r="E43" i="5"/>
  <c r="K43" i="5"/>
  <c r="AD43" i="5"/>
  <c r="E44" i="5"/>
  <c r="K44" i="5"/>
  <c r="AB44" i="5"/>
  <c r="AD44" i="5"/>
  <c r="AI44" i="5"/>
  <c r="E45" i="5"/>
  <c r="K45" i="5"/>
  <c r="AB45" i="5"/>
  <c r="AD45" i="5"/>
  <c r="E46" i="5"/>
  <c r="K46" i="5"/>
  <c r="AD46" i="5"/>
  <c r="E47" i="5"/>
  <c r="E48" i="5" s="1"/>
  <c r="AI48" i="5" s="1"/>
  <c r="K47" i="5"/>
  <c r="AB47" i="5"/>
  <c r="AD47" i="5"/>
  <c r="AF47" i="5"/>
  <c r="C48" i="5"/>
  <c r="D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9" i="5"/>
  <c r="K50" i="5"/>
  <c r="AI50" i="5" s="1"/>
  <c r="K51" i="5"/>
  <c r="AI51" i="5" s="1"/>
  <c r="K52" i="5"/>
  <c r="AI52" i="5" s="1"/>
  <c r="K53" i="5"/>
  <c r="AI53" i="5" s="1"/>
  <c r="K54" i="5"/>
  <c r="AI54" i="5" s="1"/>
  <c r="K55" i="5"/>
  <c r="AI55" i="5" s="1"/>
  <c r="K56" i="5"/>
  <c r="AI56" i="5" s="1"/>
  <c r="K57" i="5"/>
  <c r="AI57" i="5" s="1"/>
  <c r="K58" i="5"/>
  <c r="AI58" i="5" s="1"/>
  <c r="K59" i="5"/>
  <c r="AI59" i="5" s="1"/>
  <c r="K60" i="5"/>
  <c r="AB60" i="5"/>
  <c r="AH60" i="5"/>
  <c r="K61" i="5"/>
  <c r="AI61" i="5" s="1"/>
  <c r="K62" i="5"/>
  <c r="AI62" i="5" s="1"/>
  <c r="K63" i="5"/>
  <c r="AI63" i="5" s="1"/>
  <c r="K64" i="5"/>
  <c r="AI64" i="5" s="1"/>
  <c r="K65" i="5"/>
  <c r="AI65" i="5" s="1"/>
  <c r="K66" i="5"/>
  <c r="AI66" i="5" s="1"/>
  <c r="K67" i="5"/>
  <c r="AI67" i="5" s="1"/>
  <c r="K68" i="5"/>
  <c r="AI68" i="5" s="1"/>
  <c r="K69" i="5"/>
  <c r="AI69" i="5" s="1"/>
  <c r="K70" i="5"/>
  <c r="AI70" i="5" s="1"/>
  <c r="K71" i="5"/>
  <c r="AI71" i="5" s="1"/>
  <c r="K72" i="5"/>
  <c r="AI72" i="5" s="1"/>
  <c r="K73" i="5"/>
  <c r="AI73" i="5" s="1"/>
  <c r="K74" i="5"/>
  <c r="AI74" i="5" s="1"/>
  <c r="K75" i="5"/>
  <c r="AI75" i="5" s="1"/>
  <c r="K76" i="5"/>
  <c r="AI76" i="5" s="1"/>
  <c r="K77" i="5"/>
  <c r="AI77" i="5" s="1"/>
  <c r="K78" i="5"/>
  <c r="AI78" i="5" s="1"/>
  <c r="K79" i="5"/>
  <c r="AI79" i="5" s="1"/>
  <c r="K80" i="5"/>
  <c r="AI80" i="5" s="1"/>
  <c r="K81" i="5"/>
  <c r="AI81" i="5" s="1"/>
  <c r="K82" i="5"/>
  <c r="AI82" i="5" s="1"/>
  <c r="K83" i="5"/>
  <c r="AI83" i="5" s="1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I84" i="5" s="1"/>
  <c r="AG84" i="5"/>
  <c r="AH84" i="5"/>
  <c r="K85" i="5"/>
  <c r="AI85" i="5" s="1"/>
  <c r="K86" i="5"/>
  <c r="AI86" i="5" s="1"/>
  <c r="K87" i="5"/>
  <c r="AD87" i="5"/>
  <c r="AE87" i="5"/>
  <c r="AF87" i="5"/>
  <c r="K88" i="5"/>
  <c r="V88" i="5"/>
  <c r="W88" i="5"/>
  <c r="C89" i="5"/>
  <c r="D89" i="5"/>
  <c r="F89" i="5"/>
  <c r="G89" i="5"/>
  <c r="H89" i="5"/>
  <c r="I89" i="5"/>
  <c r="J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12" i="5"/>
  <c r="AX13" i="5"/>
  <c r="BB13" i="5"/>
  <c r="BE13" i="5" s="1"/>
  <c r="BE14" i="5"/>
  <c r="BE15" i="5"/>
  <c r="BE16" i="5"/>
  <c r="BE17" i="5"/>
  <c r="AW18" i="5"/>
  <c r="BE18" i="5" s="1"/>
  <c r="BE19" i="5"/>
  <c r="BE20" i="5"/>
  <c r="AZ21" i="5"/>
  <c r="BE21" i="5" s="1"/>
  <c r="BE22" i="5"/>
  <c r="BE23" i="5"/>
  <c r="BE24" i="5"/>
  <c r="AJ25" i="5"/>
  <c r="AK25" i="5"/>
  <c r="AL25" i="5"/>
  <c r="AL89" i="5" s="1"/>
  <c r="AM25" i="5"/>
  <c r="AN25" i="5"/>
  <c r="AN89" i="5" s="1"/>
  <c r="AO25" i="5"/>
  <c r="AP25" i="5"/>
  <c r="AP89" i="5" s="1"/>
  <c r="AQ25" i="5"/>
  <c r="AR25" i="5"/>
  <c r="AR89" i="5" s="1"/>
  <c r="AS25" i="5"/>
  <c r="AT25" i="5"/>
  <c r="AT89" i="5" s="1"/>
  <c r="AU25" i="5"/>
  <c r="AV25" i="5"/>
  <c r="AV89" i="5" s="1"/>
  <c r="AW25" i="5"/>
  <c r="AX25" i="5"/>
  <c r="AX89" i="5" s="1"/>
  <c r="AY25" i="5"/>
  <c r="AZ25" i="5"/>
  <c r="AZ89" i="5" s="1"/>
  <c r="BA25" i="5"/>
  <c r="BB25" i="5"/>
  <c r="BC25" i="5"/>
  <c r="BD25" i="5"/>
  <c r="BD89" i="5" s="1"/>
  <c r="BE26" i="5"/>
  <c r="BE27" i="5"/>
  <c r="BE28" i="5"/>
  <c r="BE29" i="5"/>
  <c r="BE30" i="5"/>
  <c r="BE31" i="5"/>
  <c r="AL32" i="5"/>
  <c r="BE32" i="5" s="1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AJ84" i="5"/>
  <c r="AJ89" i="5" s="1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5" i="5"/>
  <c r="BE86" i="5"/>
  <c r="BE87" i="5"/>
  <c r="BE88" i="5"/>
  <c r="AK89" i="5"/>
  <c r="AM89" i="5"/>
  <c r="AO89" i="5"/>
  <c r="AQ89" i="5"/>
  <c r="AS89" i="5"/>
  <c r="AU89" i="5"/>
  <c r="AW89" i="5"/>
  <c r="AY89" i="5"/>
  <c r="BA89" i="5"/>
  <c r="BC89" i="5"/>
  <c r="BE12" i="5"/>
  <c r="AI87" i="5" l="1"/>
  <c r="AI60" i="5"/>
  <c r="AI46" i="5"/>
  <c r="AI43" i="5"/>
  <c r="AI40" i="5"/>
  <c r="AI38" i="5"/>
  <c r="AI32" i="5"/>
  <c r="AI30" i="5"/>
  <c r="AI27" i="5"/>
  <c r="AI23" i="5"/>
  <c r="AI20" i="5"/>
  <c r="BE84" i="5"/>
  <c r="BE25" i="5"/>
  <c r="BB89" i="5"/>
  <c r="BE89" i="5" s="1"/>
  <c r="AI88" i="5"/>
  <c r="AI47" i="5"/>
  <c r="AI45" i="5"/>
  <c r="AI42" i="5"/>
  <c r="AI39" i="5"/>
  <c r="AI36" i="5"/>
  <c r="AI31" i="5"/>
  <c r="AI28" i="5"/>
  <c r="AI26" i="5"/>
  <c r="AI22" i="5"/>
  <c r="AI19" i="5"/>
  <c r="AI25" i="5"/>
  <c r="K89" i="5"/>
  <c r="AI89" i="5" s="1"/>
</calcChain>
</file>

<file path=xl/comments1.xml><?xml version="1.0" encoding="utf-8"?>
<comments xmlns="http://schemas.openxmlformats.org/spreadsheetml/2006/main">
  <authors>
    <author>Lutvun</author>
  </authors>
  <commentList>
    <comment ref="AL32" authorId="0">
      <text>
        <r>
          <rPr>
            <b/>
            <sz val="36"/>
            <color indexed="81"/>
            <rFont val="Times New Roman"/>
            <family val="1"/>
            <charset val="204"/>
          </rPr>
          <t>Lutvun:</t>
        </r>
        <r>
          <rPr>
            <sz val="36"/>
            <color indexed="81"/>
            <rFont val="Times New Roman"/>
            <family val="1"/>
            <charset val="204"/>
          </rPr>
          <t xml:space="preserve">
Грешных
</t>
        </r>
      </text>
    </comment>
  </commentList>
</comments>
</file>

<file path=xl/sharedStrings.xml><?xml version="1.0" encoding="utf-8"?>
<sst xmlns="http://schemas.openxmlformats.org/spreadsheetml/2006/main" count="292" uniqueCount="241">
  <si>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</si>
  <si>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</si>
  <si>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</si>
  <si>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</si>
  <si>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</si>
  <si>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</si>
  <si>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</si>
  <si>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на виконання програм соціально-економічного та культурного розвитку регіонів</t>
  </si>
  <si>
    <t>інші субвенції</t>
  </si>
  <si>
    <t>на природоохоронні заходи</t>
  </si>
  <si>
    <t>на охорону і раціональне використання земель</t>
  </si>
  <si>
    <t>04100000000</t>
  </si>
  <si>
    <t>Обласний бюджет</t>
  </si>
  <si>
    <t>Державний бюджет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</si>
  <si>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</si>
  <si>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04511000000</t>
  </si>
  <si>
    <t>04514000000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</si>
  <si>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</si>
  <si>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</si>
  <si>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</si>
  <si>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</si>
  <si>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</si>
  <si>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</si>
  <si>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</si>
  <si>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</si>
  <si>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</si>
  <si>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</si>
  <si>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</si>
  <si>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</si>
  <si>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</si>
  <si>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</si>
  <si>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</si>
  <si>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</si>
  <si>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</si>
  <si>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</si>
  <si>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</si>
  <si>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</si>
  <si>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</si>
  <si>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</si>
  <si>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</si>
  <si>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</si>
  <si>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</si>
  <si>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</si>
  <si>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</si>
  <si>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</si>
  <si>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</si>
  <si>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</si>
  <si>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</si>
  <si>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</si>
  <si>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</si>
  <si>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</si>
  <si>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</si>
  <si>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04502000000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</si>
  <si>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</si>
  <si>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</si>
  <si>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</si>
  <si>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</si>
  <si>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</si>
  <si>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</si>
  <si>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</si>
  <si>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</si>
  <si>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</si>
  <si>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</si>
  <si>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</si>
  <si>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</si>
  <si>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</si>
  <si>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</si>
  <si>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</si>
  <si>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</si>
  <si>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</si>
  <si>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</si>
  <si>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</si>
  <si>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</si>
  <si>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</si>
  <si>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</si>
  <si>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</si>
  <si>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</si>
  <si>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</si>
  <si>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</si>
  <si>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</si>
  <si>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</si>
  <si>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</si>
  <si>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</si>
  <si>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</si>
  <si>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</si>
  <si>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</si>
  <si>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</si>
  <si>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>Новоолександрівська сільська рада</t>
  </si>
  <si>
    <t xml:space="preserve">Богданівська сільська рада </t>
  </si>
  <si>
    <t xml:space="preserve">Сурсько-Литовська сільська рада </t>
  </si>
  <si>
    <t>Обласний бюджет Кіровоградської області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</si>
  <si>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</si>
  <si>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</si>
  <si>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Об’єднані територіальні громади</t>
  </si>
  <si>
    <t>04515000000</t>
  </si>
  <si>
    <t>Апостолівська міська рада</t>
  </si>
  <si>
    <t>Вербківська сільська рада</t>
  </si>
  <si>
    <t>Зеленодольська міська рада</t>
  </si>
  <si>
    <t>Грушівська сільська рада</t>
  </si>
  <si>
    <t>Ляшківська сільська рада</t>
  </si>
  <si>
    <t>Могилівська сільська рада</t>
  </si>
  <si>
    <t>Нивотрудівська сільська рада</t>
  </si>
  <si>
    <t>Новопокровська селищна рада</t>
  </si>
  <si>
    <t>Солонянська селищна рада</t>
  </si>
  <si>
    <t>04501000000</t>
  </si>
  <si>
    <t>04503000000</t>
  </si>
  <si>
    <t>04504000000</t>
  </si>
  <si>
    <t>04505000000</t>
  </si>
  <si>
    <t>04506000000</t>
  </si>
  <si>
    <t>04507000000</t>
  </si>
  <si>
    <t>04508000000</t>
  </si>
  <si>
    <t>04509000000</t>
  </si>
  <si>
    <t>04510000000</t>
  </si>
  <si>
    <t>04512000000</t>
  </si>
  <si>
    <t>04513000000</t>
  </si>
  <si>
    <t>м. Покров</t>
  </si>
  <si>
    <t>Дніпровський р-н</t>
  </si>
  <si>
    <t>Слобожанська селищна рада</t>
  </si>
  <si>
    <t>Обласний бюджет Донецької області</t>
  </si>
  <si>
    <t>на надання пільг та житлових субсидій населенню на придбання твердого та рідкого пічного побутового палива і скрапленого газу</t>
  </si>
  <si>
    <t>КПКВК 7618480</t>
  </si>
  <si>
    <t>КПКВК 7618260</t>
  </si>
  <si>
    <t>КПКВК 7618320</t>
  </si>
  <si>
    <t>КПКВК 7618340</t>
  </si>
  <si>
    <t>КПКВК 6018370</t>
  </si>
  <si>
    <t>Реверсна дотація</t>
  </si>
  <si>
    <t>КПКВК 7618120</t>
  </si>
  <si>
    <t>інші додаткові дотації</t>
  </si>
  <si>
    <t>КПКВК 7618700</t>
  </si>
  <si>
    <t>КПКВК 0118801</t>
  </si>
  <si>
    <t>КПКВК 5318805</t>
  </si>
  <si>
    <t>КПКВК 0118804</t>
  </si>
  <si>
    <t>на фінансування переможців обласного конкурсу мініпроектів з енергоефективності та енергозбереження серед органів самоорганізації населення та ОСББ (на умовах співфінансування)</t>
  </si>
  <si>
    <t>КПКВК 0118802</t>
  </si>
  <si>
    <t>КПКВК 0118803</t>
  </si>
  <si>
    <t>Святовасилівська сільська рада</t>
  </si>
  <si>
    <t>Вакулівська сільська рада</t>
  </si>
  <si>
    <t>КПКВК 5318806</t>
  </si>
  <si>
    <t>на поліпшення матеріально-технічної бази сільськогосподарських обслуговуючих та виробничих кооперативів</t>
  </si>
  <si>
    <t>м. Дніпро</t>
  </si>
  <si>
    <t>КПКВК 4718807</t>
  </si>
  <si>
    <t>на капітальні видатки та облаштування об’єктів соціально-культурної сфери</t>
  </si>
  <si>
    <t>Показники міжбюджетних трансфертів між обласним бюджетом та іншими бюджетами на 2017 рік</t>
  </si>
  <si>
    <t>КПКВК 1018630</t>
  </si>
  <si>
    <t>на надання державної підтримки особам з особливими освітніми потребами</t>
  </si>
  <si>
    <t>КПКВК 0318510</t>
  </si>
  <si>
    <t>на проведення виборів депутатів місцевих рад та сільських, селищних, міських голів</t>
  </si>
  <si>
    <t xml:space="preserve">                                              З НИХ                                               </t>
  </si>
  <si>
    <t>04521000000</t>
  </si>
  <si>
    <t>Криничанська селищна рада</t>
  </si>
  <si>
    <t>04534000000</t>
  </si>
  <si>
    <t>04527000000</t>
  </si>
  <si>
    <t>Царичанська селищна рада</t>
  </si>
  <si>
    <t xml:space="preserve">Обсяги міжбюджетних трансфертів, що передаються з інших місцевих бюджетів до обласного бюджету </t>
  </si>
  <si>
    <t>субвенція з інших бюджетів на виконання інвестиційних проектів</t>
  </si>
  <si>
    <t>КФКД 41020900</t>
  </si>
  <si>
    <t>КФКД 41034200</t>
  </si>
  <si>
    <t>КФКД 41030300</t>
  </si>
  <si>
    <t>КФКД 41030400</t>
  </si>
  <si>
    <t>КФКД 41035000</t>
  </si>
  <si>
    <t>Інші додаткові дотації</t>
  </si>
  <si>
    <t>Медична субвенція з державного бюджету місцевим бюджетам</t>
  </si>
  <si>
    <t>на виконання інвестиційних проектів</t>
  </si>
  <si>
    <t>на організацію участі колективу КВНЗ „Дніпродзержинський музичний коледж” ДОР” у міжнародному фестивалі</t>
  </si>
  <si>
    <t>на проведення обстежень мешканців міста Кам'янська з профілактики та боротьби зі СНІДом</t>
  </si>
  <si>
    <t>на виконання Програми виконання доручень виборців депутатам Дніпропетровської міської ради VII скликання 
на 2016-2020 роки</t>
  </si>
  <si>
    <t>на оплату послуг з приєднання електричних мереж амбулаторій центрів первинної медико-санітарної допомоги міста Кривого Рогу до мереж електропостачальної організації в рамках реалізації субпроекту "Підтримка реформування охорони здоров'я Дніпропетровської області"</t>
  </si>
  <si>
    <t>на оплату послуг з приєднання електричних мереж КЗ „Дніпропетровське клінічне об'єднання швидкої медичної допомоги” Дніпропетровської обласної ради, по проекту Світового банку, до мереж електропостачальної організації</t>
  </si>
  <si>
    <t>на оплату послуг за приєднання електроустановок потужністю 900 кВт до електромереж, збільшення потужності (КЗ "Павлоградська міська лікарня № 4 "ДОР")</t>
  </si>
  <si>
    <t>на відшкодування витрат за житлово-комунальні послуги та за тимчасове проживання внутрішньо переміщенних осіб (вимушених переселенців) у м. Дніпропетровськ</t>
  </si>
  <si>
    <t>на придбання вакцин для імунізації тварин проти сказу для Тернівської міської лікарні ветеринарної медицини</t>
  </si>
  <si>
    <t>на виконання програми боротьби з захворюванням тварин на сказ на території населених пунктів та мисливських угідь Магдалинівського району на 2014 - 2016 роки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</si>
  <si>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</si>
  <si>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05100000000</t>
  </si>
  <si>
    <t>Чкаловська сільська рада</t>
  </si>
  <si>
    <t>до рішення обласної ради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</si>
  <si>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 до 2020 року</t>
  </si>
  <si>
    <t>КПКВК 6718370</t>
  </si>
  <si>
    <t>КПКВК 7618370</t>
  </si>
  <si>
    <t>на реалізацію заходів програми впровадження державної політики органами виконавчої влади у Дніпропетровській області на 2016 – 2020 роки</t>
  </si>
  <si>
    <t>Мирівська сільська рада</t>
  </si>
  <si>
    <t>Томаківська селищна рада</t>
  </si>
  <si>
    <t>Васильківська селищна рада</t>
  </si>
  <si>
    <t>04516000000</t>
  </si>
  <si>
    <t>04519000000</t>
  </si>
  <si>
    <t>04526000000</t>
  </si>
  <si>
    <t>КПКВК 6818370</t>
  </si>
  <si>
    <t>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</si>
  <si>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КПКВК 1018610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</si>
  <si>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</si>
  <si>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на придбання літератури для інклюзивної освіти</t>
  </si>
  <si>
    <t>на оплату праці з нарахуваннями на заробітну плату педагогічних працівників</t>
  </si>
  <si>
    <t>на оновлення матеріально-технічної бази</t>
  </si>
  <si>
    <t>на підтримку інклюзивної освіти</t>
  </si>
  <si>
    <t>на оснащення опорних закладів засобами навчання, впровадження енергозберігаючих технологій</t>
  </si>
  <si>
    <t>04517000000</t>
  </si>
  <si>
    <t>Аульська селищна рада</t>
  </si>
  <si>
    <t>04518000000</t>
  </si>
  <si>
    <t>Божедарівська селищна рада</t>
  </si>
  <si>
    <t>04520000000</t>
  </si>
  <si>
    <t>Вишнівська селищна рада</t>
  </si>
  <si>
    <t>04522000000</t>
  </si>
  <si>
    <t>04523000000</t>
  </si>
  <si>
    <t>04524000000</t>
  </si>
  <si>
    <t>04525000000</t>
  </si>
  <si>
    <t>Лихівська селищна рада</t>
  </si>
  <si>
    <t>Покровська селищна рада</t>
  </si>
  <si>
    <t>Роздорська селищна рада</t>
  </si>
  <si>
    <t>Софіївська селищна рада</t>
  </si>
  <si>
    <t>04528000000</t>
  </si>
  <si>
    <t>04529000000</t>
  </si>
  <si>
    <t>04530000000</t>
  </si>
  <si>
    <t>04531000000</t>
  </si>
  <si>
    <t>04532000000</t>
  </si>
  <si>
    <t>04533000000</t>
  </si>
  <si>
    <t>Варварівська сільська рада</t>
  </si>
  <si>
    <t>Великомихайлівська сільська рада</t>
  </si>
  <si>
    <t>Гречаноподівська сільська рада</t>
  </si>
  <si>
    <t>Маломихайлівська сільська рада</t>
  </si>
  <si>
    <t>Новолатівська сільська рада</t>
  </si>
  <si>
    <t>Новопавлівська сільська рада</t>
  </si>
  <si>
    <t>Додаток 4</t>
  </si>
  <si>
    <t>м. Кам’янське</t>
  </si>
  <si>
    <t>Усього</t>
  </si>
  <si>
    <t xml:space="preserve">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</si>
  <si>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на підготовку і проведення повторного голосування з перших виборів депутатів сільських, селищних рад об’єднаних територіальних громад</t>
  </si>
  <si>
    <t>на виготовлення органами ведення Державного реєстру виборців списків виборців та іменних запрошень для підготовки і проведення повторного голосування виборів депутатів сільських, селищних рад об’єднаних територіальних громад</t>
  </si>
  <si>
    <t>на підтримку об’єднаних територіальних громад (впровадження енергозберігаючих технологій)</t>
  </si>
  <si>
    <t>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 Швейцарсько-Український проект „Підтримка децентралізації в Україні” DESPRO</t>
  </si>
  <si>
    <t>на утримання об’єктів спільного користування чи ліквідацію негативних наслідків діяльності об’єктів спільного користування</t>
  </si>
  <si>
    <t>на виконання Програми виконання доручень виборців депутатами Дніпропетровської міської ради VII скликання 
на 2016 – 2020 роки</t>
  </si>
  <si>
    <t>на оплату послуг з приєднання електричних мереж амбулаторій центрів первинної медико-санітарної допомоги міста Кривого Рогу до мереж електропостачальної організації в рамках реалізації субпроекту „Підтримка реформування охорони здоров’я Дніпропетровської області”</t>
  </si>
  <si>
    <t>на капітальний ремонт об’єктів соціально-культурної сфери та інфраструктури міста Кам’янське</t>
  </si>
  <si>
    <t>на капітальний ремонт об’єктів соціально-культурної сфери</t>
  </si>
  <si>
    <t>С. ОЛІЙНИК</t>
  </si>
  <si>
    <t xml:space="preserve">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 патронатного вихователя</t>
  </si>
  <si>
    <t>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
на 2016 – 2020 роки</t>
  </si>
  <si>
    <t>на фінансування переможців обласного конкурсу проектів і програм розвитку місцевого самоврядування 
2017 року</t>
  </si>
  <si>
    <t>на оплату послуг за приєднання електроустановок потужністю 900 кВт до електромереж, збільшення потужності (КЗ „Павлоградська міська лікарня 
№ 4 „ДОР”)</t>
  </si>
  <si>
    <t>на виконання доручень виборців депутатами обласної ради у 
2017 році</t>
  </si>
  <si>
    <t>Перший заступник голови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</si>
</sst>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0"/>
      <name val="Times New Roman"/>
      <family val="1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color indexed="9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20"/>
      <name val="Bookman Old Style"/>
      <family val="1"/>
      <charset val="204"/>
    </font>
    <font>
      <sz val="1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sz val="10"/>
      <color indexed="8"/>
      <name val="ARIAL"/>
      <charset val="1"/>
    </font>
    <font>
      <b/>
      <sz val="65"/>
      <name val="Times New Roman"/>
      <family val="1"/>
      <charset val="204"/>
    </font>
    <font>
      <sz val="65"/>
      <name val="Arial Cyr"/>
      <family val="2"/>
      <charset val="204"/>
    </font>
    <font>
      <b/>
      <sz val="36"/>
      <color indexed="81"/>
      <name val="Times New Roman"/>
      <family val="1"/>
      <charset val="204"/>
    </font>
    <font>
      <sz val="36"/>
      <color indexed="8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1" fillId="0" borderId="0"/>
    <xf numFmtId="0" fontId="25" fillId="0" borderId="0">
      <alignment vertical="top"/>
    </xf>
    <xf numFmtId="0" fontId="21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3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49" fontId="8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5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3" fontId="16" fillId="0" borderId="0" xfId="0" applyNumberFormat="1" applyFont="1" applyFill="1" applyBorder="1" applyAlignment="1">
      <alignment horizontal="right"/>
    </xf>
    <xf numFmtId="0" fontId="19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Border="1"/>
    <xf numFmtId="0" fontId="20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wrapText="1"/>
    </xf>
    <xf numFmtId="0" fontId="27" fillId="0" borderId="0" xfId="0" applyFont="1" applyFill="1"/>
    <xf numFmtId="0" fontId="24" fillId="0" borderId="0" xfId="0" applyNumberFormat="1" applyFont="1" applyFill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vertical="center"/>
    </xf>
    <xf numFmtId="0" fontId="10" fillId="0" borderId="6" xfId="0" applyFont="1" applyFill="1" applyBorder="1"/>
    <xf numFmtId="0" fontId="11" fillId="0" borderId="2" xfId="0" applyFont="1" applyFill="1" applyBorder="1" applyAlignment="1">
      <alignment vertical="center" wrapText="1"/>
    </xf>
    <xf numFmtId="0" fontId="10" fillId="0" borderId="7" xfId="0" applyFont="1" applyFill="1" applyBorder="1"/>
    <xf numFmtId="0" fontId="10" fillId="0" borderId="8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vertical="center"/>
    </xf>
    <xf numFmtId="0" fontId="22" fillId="0" borderId="0" xfId="0" applyFont="1" applyFill="1" applyAlignment="1"/>
    <xf numFmtId="3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">
    <cellStyle name="Normal_Доходи" xfId="1"/>
    <cellStyle name="Звичайний_Додаток _ 3 зм_ни 4575" xfId="2"/>
    <cellStyle name="Обычный" xfId="0" builtinId="0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63"/>
  <sheetViews>
    <sheetView showZeros="0" tabSelected="1" view="pageBreakPreview" zoomScale="25" zoomScaleNormal="25" zoomScaleSheetLayoutView="25" workbookViewId="0">
      <pane xSplit="2" ySplit="11" topLeftCell="AW81" activePane="bottomRight" state="frozen"/>
      <selection pane="topRight" activeCell="C1" sqref="C1"/>
      <selection pane="bottomLeft" activeCell="A14" sqref="A14"/>
      <selection pane="bottomRight" activeCell="A94" sqref="A94"/>
    </sheetView>
  </sheetViews>
  <sheetFormatPr defaultRowHeight="12.75" x14ac:dyDescent="0.2"/>
  <cols>
    <col min="1" max="1" width="52.28515625" style="2" customWidth="1"/>
    <col min="2" max="2" width="139.85546875" style="2" customWidth="1"/>
    <col min="3" max="3" width="132.7109375" style="2" customWidth="1"/>
    <col min="4" max="4" width="138.7109375" style="2" customWidth="1"/>
    <col min="5" max="5" width="168" style="2" customWidth="1"/>
    <col min="6" max="6" width="162.85546875" style="2" customWidth="1"/>
    <col min="7" max="7" width="255" style="2" customWidth="1"/>
    <col min="8" max="8" width="100" style="2" customWidth="1"/>
    <col min="9" max="9" width="132.85546875" style="2" customWidth="1"/>
    <col min="10" max="10" width="187.140625" style="2" customWidth="1"/>
    <col min="11" max="11" width="94.28515625" style="2" customWidth="1"/>
    <col min="12" max="12" width="68.5703125" style="2" customWidth="1"/>
    <col min="13" max="13" width="79.28515625" style="2" customWidth="1"/>
    <col min="14" max="14" width="60.7109375" style="2" customWidth="1"/>
    <col min="15" max="15" width="61.42578125" style="2" customWidth="1"/>
    <col min="16" max="16" width="83.5703125" style="2" customWidth="1"/>
    <col min="17" max="17" width="102.140625" style="2" customWidth="1"/>
    <col min="18" max="18" width="77.85546875" style="2" customWidth="1"/>
    <col min="19" max="19" width="117.140625" style="2" customWidth="1"/>
    <col min="20" max="20" width="147.85546875" style="2" customWidth="1"/>
    <col min="21" max="21" width="105.7109375" style="2" customWidth="1"/>
    <col min="22" max="22" width="82.85546875" style="2" customWidth="1"/>
    <col min="23" max="23" width="75" style="2" customWidth="1"/>
    <col min="24" max="24" width="125" style="2" customWidth="1"/>
    <col min="25" max="25" width="153.5703125" style="2" customWidth="1"/>
    <col min="26" max="26" width="105.7109375" style="2" customWidth="1"/>
    <col min="27" max="27" width="76.28515625" style="2" customWidth="1"/>
    <col min="28" max="28" width="98.5703125" style="2" customWidth="1"/>
    <col min="29" max="29" width="133.5703125" style="2" customWidth="1"/>
    <col min="30" max="30" width="138.5703125" style="2" customWidth="1"/>
    <col min="31" max="31" width="208.5703125" style="2" customWidth="1"/>
    <col min="32" max="32" width="81.42578125" style="2" customWidth="1"/>
    <col min="33" max="33" width="107.85546875" style="2" customWidth="1"/>
    <col min="34" max="34" width="82.85546875" style="2" customWidth="1"/>
    <col min="35" max="35" width="69" style="2" customWidth="1"/>
    <col min="36" max="36" width="82" style="2" hidden="1" customWidth="1"/>
    <col min="37" max="37" width="83.42578125" style="2" customWidth="1"/>
    <col min="38" max="38" width="94.85546875" style="2" customWidth="1"/>
    <col min="39" max="39" width="133.42578125" style="2" customWidth="1"/>
    <col min="40" max="40" width="92.140625" style="2" hidden="1" customWidth="1"/>
    <col min="41" max="41" width="75.7109375" style="2" hidden="1" customWidth="1"/>
    <col min="42" max="42" width="77.140625" style="2" hidden="1" customWidth="1"/>
    <col min="43" max="43" width="117.85546875" style="2" hidden="1" customWidth="1"/>
    <col min="44" max="44" width="110" style="2" hidden="1" customWidth="1"/>
    <col min="45" max="45" width="97.85546875" style="2" hidden="1" customWidth="1"/>
    <col min="46" max="46" width="92.140625" style="2" hidden="1" customWidth="1"/>
    <col min="47" max="47" width="70" style="2" hidden="1" customWidth="1"/>
    <col min="48" max="48" width="80" style="2" hidden="1" customWidth="1"/>
    <col min="49" max="49" width="110.7109375" style="2" customWidth="1"/>
    <col min="50" max="50" width="99.28515625" style="2" customWidth="1"/>
    <col min="51" max="51" width="173.5703125" style="2" customWidth="1"/>
    <col min="52" max="52" width="135" style="2" customWidth="1"/>
    <col min="53" max="53" width="120.7109375" style="2" customWidth="1"/>
    <col min="54" max="54" width="115.7109375" style="2" customWidth="1"/>
    <col min="55" max="55" width="95.7109375" style="2" customWidth="1"/>
    <col min="56" max="56" width="81.42578125" style="2" customWidth="1"/>
    <col min="57" max="57" width="67.140625" style="2" customWidth="1"/>
    <col min="58" max="16384" width="9.140625" style="2"/>
  </cols>
  <sheetData>
    <row r="1" spans="1:58" ht="69" x14ac:dyDescent="0.85">
      <c r="A1" s="1"/>
      <c r="B1" s="1"/>
      <c r="C1" s="1"/>
      <c r="F1" s="36" t="s">
        <v>221</v>
      </c>
      <c r="AB1" s="3"/>
      <c r="AC1" s="3"/>
      <c r="AD1" s="3"/>
      <c r="AE1" s="3"/>
      <c r="AF1" s="3"/>
      <c r="AG1" s="3"/>
      <c r="AH1" s="3"/>
    </row>
    <row r="2" spans="1:58" ht="69" x14ac:dyDescent="0.85">
      <c r="A2" s="1"/>
      <c r="B2" s="1"/>
      <c r="C2" s="1"/>
      <c r="F2" s="36" t="s">
        <v>175</v>
      </c>
      <c r="AB2" s="3"/>
      <c r="AC2" s="3"/>
      <c r="AD2" s="3"/>
      <c r="AE2" s="3"/>
      <c r="AF2" s="3"/>
      <c r="AG2" s="3"/>
      <c r="AH2" s="3"/>
    </row>
    <row r="3" spans="1:58" ht="90" customHeight="1" x14ac:dyDescent="0.85">
      <c r="A3" s="6"/>
      <c r="C3" s="49" t="s">
        <v>142</v>
      </c>
      <c r="D3" s="49"/>
      <c r="E3" s="49"/>
      <c r="F3" s="4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"/>
      <c r="AB3" s="5"/>
      <c r="AC3" s="5"/>
      <c r="AD3" s="5"/>
      <c r="AE3" s="5"/>
      <c r="AF3" s="5"/>
      <c r="AG3" s="5"/>
      <c r="AH3" s="5"/>
      <c r="AI3" s="4"/>
    </row>
    <row r="4" spans="1:58" s="10" customFormat="1" ht="62.25" customHeight="1" x14ac:dyDescent="1">
      <c r="A4" s="8"/>
      <c r="B4" s="8"/>
      <c r="C4" s="8"/>
      <c r="D4" s="9"/>
      <c r="E4" s="8"/>
      <c r="F4" s="8" t="s">
        <v>0</v>
      </c>
      <c r="G4" s="8"/>
      <c r="H4" s="8"/>
      <c r="I4" s="8"/>
      <c r="J4" s="8" t="s">
        <v>0</v>
      </c>
      <c r="K4" s="8"/>
      <c r="L4" s="8"/>
      <c r="M4" s="8"/>
      <c r="N4" s="8"/>
      <c r="O4" s="8"/>
      <c r="P4" s="8"/>
      <c r="Q4" s="8"/>
      <c r="R4" s="8" t="s">
        <v>0</v>
      </c>
      <c r="S4" s="8"/>
      <c r="T4" s="8"/>
      <c r="U4" s="8"/>
      <c r="V4" s="8"/>
      <c r="W4" s="8"/>
      <c r="X4" s="8" t="s">
        <v>0</v>
      </c>
      <c r="Y4" s="8"/>
      <c r="Z4" s="8"/>
      <c r="AA4" s="8"/>
      <c r="AC4" s="8" t="s">
        <v>0</v>
      </c>
      <c r="AD4" s="8"/>
      <c r="AE4" s="8"/>
      <c r="AF4" s="8"/>
      <c r="AG4" s="8"/>
      <c r="AH4" s="8"/>
      <c r="AI4" s="8" t="s">
        <v>0</v>
      </c>
      <c r="BE4" s="8" t="s">
        <v>0</v>
      </c>
    </row>
    <row r="5" spans="1:58" s="11" customFormat="1" ht="168.75" customHeight="1" x14ac:dyDescent="0.2">
      <c r="A5" s="54" t="s">
        <v>1</v>
      </c>
      <c r="B5" s="55" t="s">
        <v>54</v>
      </c>
      <c r="C5" s="33" t="s">
        <v>2</v>
      </c>
      <c r="D5" s="53" t="s">
        <v>91</v>
      </c>
      <c r="E5" s="53"/>
      <c r="F5" s="53"/>
      <c r="G5" s="53" t="s">
        <v>91</v>
      </c>
      <c r="H5" s="53"/>
      <c r="I5" s="53"/>
      <c r="J5" s="53"/>
      <c r="K5" s="53" t="s">
        <v>91</v>
      </c>
      <c r="L5" s="53"/>
      <c r="M5" s="53"/>
      <c r="N5" s="53"/>
      <c r="O5" s="53"/>
      <c r="P5" s="53"/>
      <c r="Q5" s="53"/>
      <c r="R5" s="53"/>
      <c r="S5" s="53" t="s">
        <v>2</v>
      </c>
      <c r="T5" s="53"/>
      <c r="U5" s="53"/>
      <c r="V5" s="53"/>
      <c r="W5" s="53"/>
      <c r="X5" s="53"/>
      <c r="Y5" s="53" t="s">
        <v>2</v>
      </c>
      <c r="Z5" s="53"/>
      <c r="AA5" s="53" t="s">
        <v>53</v>
      </c>
      <c r="AB5" s="53"/>
      <c r="AC5" s="53"/>
      <c r="AD5" s="53" t="s">
        <v>53</v>
      </c>
      <c r="AE5" s="53"/>
      <c r="AF5" s="53"/>
      <c r="AG5" s="53"/>
      <c r="AH5" s="53"/>
      <c r="AI5" s="53" t="s">
        <v>3</v>
      </c>
      <c r="AJ5" s="45"/>
      <c r="AK5" s="53" t="s">
        <v>153</v>
      </c>
      <c r="AL5" s="53"/>
      <c r="AM5" s="53"/>
      <c r="AN5" s="39"/>
      <c r="AO5" s="39"/>
      <c r="AP5" s="39"/>
      <c r="AQ5" s="53" t="s">
        <v>153</v>
      </c>
      <c r="AR5" s="53"/>
      <c r="AS5" s="53"/>
      <c r="AT5" s="53"/>
      <c r="AU5" s="53"/>
      <c r="AV5" s="53"/>
      <c r="AW5" s="53" t="s">
        <v>153</v>
      </c>
      <c r="AX5" s="53"/>
      <c r="AY5" s="53"/>
      <c r="AZ5" s="53" t="s">
        <v>153</v>
      </c>
      <c r="BA5" s="53"/>
      <c r="BB5" s="53"/>
      <c r="BC5" s="53"/>
      <c r="BD5" s="53"/>
      <c r="BE5" s="53" t="s">
        <v>3</v>
      </c>
      <c r="BF5" s="43"/>
    </row>
    <row r="6" spans="1:58" s="11" customFormat="1" ht="76.5" customHeight="1" x14ac:dyDescent="0.2">
      <c r="A6" s="54"/>
      <c r="B6" s="55"/>
      <c r="C6" s="53" t="s">
        <v>4</v>
      </c>
      <c r="D6" s="53"/>
      <c r="E6" s="53"/>
      <c r="F6" s="53"/>
      <c r="G6" s="53" t="s">
        <v>4</v>
      </c>
      <c r="H6" s="53"/>
      <c r="I6" s="53"/>
      <c r="J6" s="53"/>
      <c r="K6" s="53" t="s">
        <v>4</v>
      </c>
      <c r="L6" s="53"/>
      <c r="M6" s="53"/>
      <c r="N6" s="53"/>
      <c r="O6" s="53"/>
      <c r="P6" s="53"/>
      <c r="Q6" s="37" t="s">
        <v>5</v>
      </c>
      <c r="R6" s="37" t="s">
        <v>4</v>
      </c>
      <c r="S6" s="53" t="s">
        <v>4</v>
      </c>
      <c r="T6" s="53"/>
      <c r="U6" s="53"/>
      <c r="V6" s="53" t="s">
        <v>5</v>
      </c>
      <c r="W6" s="53"/>
      <c r="X6" s="53"/>
      <c r="Y6" s="53" t="s">
        <v>5</v>
      </c>
      <c r="Z6" s="53"/>
      <c r="AA6" s="53" t="s">
        <v>4</v>
      </c>
      <c r="AB6" s="53"/>
      <c r="AC6" s="53"/>
      <c r="AD6" s="37" t="s">
        <v>4</v>
      </c>
      <c r="AE6" s="53" t="s">
        <v>5</v>
      </c>
      <c r="AF6" s="53"/>
      <c r="AG6" s="53"/>
      <c r="AH6" s="53"/>
      <c r="AI6" s="53"/>
      <c r="AJ6" s="46"/>
      <c r="AK6" s="53" t="s">
        <v>4</v>
      </c>
      <c r="AL6" s="53"/>
      <c r="AM6" s="37" t="s">
        <v>5</v>
      </c>
      <c r="AN6" s="53" t="s">
        <v>4</v>
      </c>
      <c r="AO6" s="53"/>
      <c r="AP6" s="53"/>
      <c r="AQ6" s="53" t="s">
        <v>4</v>
      </c>
      <c r="AR6" s="53"/>
      <c r="AS6" s="53"/>
      <c r="AT6" s="53"/>
      <c r="AU6" s="53"/>
      <c r="AV6" s="53"/>
      <c r="AW6" s="53" t="s">
        <v>4</v>
      </c>
      <c r="AX6" s="53"/>
      <c r="AY6" s="53"/>
      <c r="AZ6" s="37" t="s">
        <v>4</v>
      </c>
      <c r="BA6" s="53" t="s">
        <v>5</v>
      </c>
      <c r="BB6" s="53"/>
      <c r="BC6" s="53"/>
      <c r="BD6" s="53"/>
      <c r="BE6" s="53"/>
      <c r="BF6" s="43"/>
    </row>
    <row r="7" spans="1:58" s="11" customFormat="1" ht="113.25" customHeight="1" x14ac:dyDescent="0.2">
      <c r="A7" s="54"/>
      <c r="B7" s="55"/>
      <c r="C7" s="32"/>
      <c r="D7" s="56" t="s">
        <v>6</v>
      </c>
      <c r="E7" s="56"/>
      <c r="F7" s="56"/>
      <c r="G7" s="12" t="s">
        <v>6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44"/>
      <c r="S7" s="56" t="s">
        <v>7</v>
      </c>
      <c r="T7" s="56"/>
      <c r="U7" s="56"/>
      <c r="V7" s="56"/>
      <c r="W7" s="56"/>
      <c r="X7" s="56"/>
      <c r="Y7" s="56" t="s">
        <v>7</v>
      </c>
      <c r="Z7" s="56"/>
      <c r="AA7" s="44"/>
      <c r="AB7" s="56" t="s">
        <v>8</v>
      </c>
      <c r="AC7" s="56"/>
      <c r="AD7" s="56" t="s">
        <v>8</v>
      </c>
      <c r="AE7" s="56"/>
      <c r="AF7" s="56"/>
      <c r="AG7" s="56"/>
      <c r="AH7" s="56"/>
      <c r="AI7" s="53"/>
      <c r="AJ7" s="38"/>
      <c r="AK7" s="53"/>
      <c r="AL7" s="53"/>
      <c r="AM7" s="37" t="s">
        <v>154</v>
      </c>
      <c r="AN7" s="52" t="s">
        <v>8</v>
      </c>
      <c r="AO7" s="52"/>
      <c r="AP7" s="52"/>
      <c r="AQ7" s="52" t="s">
        <v>8</v>
      </c>
      <c r="AR7" s="52"/>
      <c r="AS7" s="52"/>
      <c r="AT7" s="52"/>
      <c r="AU7" s="52"/>
      <c r="AV7" s="52"/>
      <c r="AW7" s="52" t="s">
        <v>8</v>
      </c>
      <c r="AX7" s="52"/>
      <c r="AY7" s="52"/>
      <c r="AZ7" s="52" t="s">
        <v>8</v>
      </c>
      <c r="BA7" s="52"/>
      <c r="BB7" s="52"/>
      <c r="BC7" s="52"/>
      <c r="BD7" s="52"/>
      <c r="BE7" s="53"/>
      <c r="BF7" s="43"/>
    </row>
    <row r="8" spans="1:58" s="11" customFormat="1" ht="69.75" customHeight="1" x14ac:dyDescent="0.2">
      <c r="A8" s="54"/>
      <c r="B8" s="55"/>
      <c r="C8" s="12" t="s">
        <v>126</v>
      </c>
      <c r="D8" s="12" t="s">
        <v>121</v>
      </c>
      <c r="E8" s="12" t="s">
        <v>122</v>
      </c>
      <c r="F8" s="12" t="s">
        <v>123</v>
      </c>
      <c r="G8" s="12" t="s">
        <v>120</v>
      </c>
      <c r="H8" s="56" t="s">
        <v>145</v>
      </c>
      <c r="I8" s="56"/>
      <c r="J8" s="56"/>
      <c r="K8" s="56" t="s">
        <v>188</v>
      </c>
      <c r="L8" s="56"/>
      <c r="M8" s="56"/>
      <c r="N8" s="56"/>
      <c r="O8" s="56"/>
      <c r="P8" s="56"/>
      <c r="Q8" s="56"/>
      <c r="R8" s="12" t="s">
        <v>143</v>
      </c>
      <c r="S8" s="12" t="s">
        <v>177</v>
      </c>
      <c r="T8" s="12" t="s">
        <v>186</v>
      </c>
      <c r="U8" s="12" t="s">
        <v>178</v>
      </c>
      <c r="V8" s="56" t="s">
        <v>124</v>
      </c>
      <c r="W8" s="56"/>
      <c r="X8" s="12" t="s">
        <v>177</v>
      </c>
      <c r="Y8" s="12" t="s">
        <v>186</v>
      </c>
      <c r="Z8" s="12" t="s">
        <v>178</v>
      </c>
      <c r="AA8" s="12" t="s">
        <v>128</v>
      </c>
      <c r="AB8" s="12" t="s">
        <v>129</v>
      </c>
      <c r="AC8" s="12" t="s">
        <v>131</v>
      </c>
      <c r="AD8" s="12" t="s">
        <v>130</v>
      </c>
      <c r="AE8" s="12" t="s">
        <v>133</v>
      </c>
      <c r="AF8" s="12" t="s">
        <v>134</v>
      </c>
      <c r="AG8" s="12" t="s">
        <v>137</v>
      </c>
      <c r="AH8" s="12" t="s">
        <v>140</v>
      </c>
      <c r="AI8" s="53"/>
      <c r="AJ8" s="47" t="s">
        <v>155</v>
      </c>
      <c r="AK8" s="12" t="s">
        <v>156</v>
      </c>
      <c r="AL8" s="12" t="s">
        <v>157</v>
      </c>
      <c r="AM8" s="12" t="s">
        <v>158</v>
      </c>
      <c r="AN8" s="52" t="s">
        <v>159</v>
      </c>
      <c r="AO8" s="52"/>
      <c r="AP8" s="52"/>
      <c r="AQ8" s="52" t="s">
        <v>159</v>
      </c>
      <c r="AR8" s="52"/>
      <c r="AS8" s="52"/>
      <c r="AT8" s="52"/>
      <c r="AU8" s="52"/>
      <c r="AV8" s="52"/>
      <c r="AW8" s="52" t="s">
        <v>159</v>
      </c>
      <c r="AX8" s="52"/>
      <c r="AY8" s="52"/>
      <c r="AZ8" s="52" t="s">
        <v>159</v>
      </c>
      <c r="BA8" s="52"/>
      <c r="BB8" s="52"/>
      <c r="BC8" s="52"/>
      <c r="BD8" s="52"/>
      <c r="BE8" s="53"/>
      <c r="BF8" s="43"/>
    </row>
    <row r="9" spans="1:58" s="11" customFormat="1" ht="81.75" customHeight="1" x14ac:dyDescent="0.2">
      <c r="A9" s="54"/>
      <c r="B9" s="55"/>
      <c r="C9" s="53" t="s">
        <v>125</v>
      </c>
      <c r="D9" s="53" t="s">
        <v>224</v>
      </c>
      <c r="E9" s="53" t="s">
        <v>14</v>
      </c>
      <c r="F9" s="53" t="s">
        <v>119</v>
      </c>
      <c r="G9" s="53" t="s">
        <v>235</v>
      </c>
      <c r="H9" s="53" t="s">
        <v>146</v>
      </c>
      <c r="I9" s="52" t="s">
        <v>147</v>
      </c>
      <c r="J9" s="52"/>
      <c r="K9" s="53" t="s">
        <v>189</v>
      </c>
      <c r="L9" s="52" t="s">
        <v>147</v>
      </c>
      <c r="M9" s="52"/>
      <c r="N9" s="52"/>
      <c r="O9" s="52"/>
      <c r="P9" s="52"/>
      <c r="Q9" s="52"/>
      <c r="R9" s="53" t="s">
        <v>144</v>
      </c>
      <c r="S9" s="53" t="s">
        <v>176</v>
      </c>
      <c r="T9" s="53" t="s">
        <v>236</v>
      </c>
      <c r="U9" s="53" t="s">
        <v>179</v>
      </c>
      <c r="V9" s="53" t="s">
        <v>9</v>
      </c>
      <c r="W9" s="53" t="s">
        <v>10</v>
      </c>
      <c r="X9" s="53" t="s">
        <v>176</v>
      </c>
      <c r="Y9" s="53" t="s">
        <v>187</v>
      </c>
      <c r="Z9" s="53" t="s">
        <v>179</v>
      </c>
      <c r="AA9" s="53" t="s">
        <v>127</v>
      </c>
      <c r="AB9" s="53" t="s">
        <v>239</v>
      </c>
      <c r="AC9" s="53" t="s">
        <v>132</v>
      </c>
      <c r="AD9" s="53" t="s">
        <v>92</v>
      </c>
      <c r="AE9" s="53" t="s">
        <v>228</v>
      </c>
      <c r="AF9" s="53" t="s">
        <v>237</v>
      </c>
      <c r="AG9" s="53" t="s">
        <v>138</v>
      </c>
      <c r="AH9" s="53" t="s">
        <v>141</v>
      </c>
      <c r="AI9" s="53"/>
      <c r="AJ9" s="57" t="s">
        <v>160</v>
      </c>
      <c r="AK9" s="53" t="s">
        <v>161</v>
      </c>
      <c r="AL9" s="53" t="s">
        <v>229</v>
      </c>
      <c r="AM9" s="53" t="s">
        <v>162</v>
      </c>
      <c r="AN9" s="53" t="s">
        <v>163</v>
      </c>
      <c r="AO9" s="53" t="s">
        <v>164</v>
      </c>
      <c r="AP9" s="53" t="s">
        <v>165</v>
      </c>
      <c r="AQ9" s="53" t="s">
        <v>166</v>
      </c>
      <c r="AR9" s="53" t="s">
        <v>167</v>
      </c>
      <c r="AS9" s="53" t="s">
        <v>168</v>
      </c>
      <c r="AT9" s="53" t="s">
        <v>169</v>
      </c>
      <c r="AU9" s="53" t="s">
        <v>170</v>
      </c>
      <c r="AV9" s="53" t="s">
        <v>171</v>
      </c>
      <c r="AW9" s="53" t="s">
        <v>172</v>
      </c>
      <c r="AX9" s="53" t="s">
        <v>230</v>
      </c>
      <c r="AY9" s="53" t="s">
        <v>231</v>
      </c>
      <c r="AZ9" s="53" t="s">
        <v>238</v>
      </c>
      <c r="BA9" s="53" t="s">
        <v>172</v>
      </c>
      <c r="BB9" s="53" t="s">
        <v>230</v>
      </c>
      <c r="BC9" s="53" t="s">
        <v>232</v>
      </c>
      <c r="BD9" s="53" t="s">
        <v>233</v>
      </c>
      <c r="BE9" s="53"/>
      <c r="BF9" s="43"/>
    </row>
    <row r="10" spans="1:58" s="11" customFormat="1" ht="129.75" customHeight="1" x14ac:dyDescent="0.2">
      <c r="A10" s="54"/>
      <c r="B10" s="55"/>
      <c r="C10" s="53"/>
      <c r="D10" s="53"/>
      <c r="E10" s="53"/>
      <c r="F10" s="53"/>
      <c r="G10" s="53"/>
      <c r="H10" s="53"/>
      <c r="I10" s="56" t="s">
        <v>225</v>
      </c>
      <c r="J10" s="56" t="s">
        <v>226</v>
      </c>
      <c r="K10" s="53"/>
      <c r="L10" s="56" t="s">
        <v>190</v>
      </c>
      <c r="M10" s="56" t="s">
        <v>191</v>
      </c>
      <c r="N10" s="56" t="s">
        <v>192</v>
      </c>
      <c r="O10" s="56" t="s">
        <v>193</v>
      </c>
      <c r="P10" s="56" t="s">
        <v>194</v>
      </c>
      <c r="Q10" s="56" t="s">
        <v>227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7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43"/>
    </row>
    <row r="11" spans="1:58" s="13" customFormat="1" ht="240.75" customHeight="1" x14ac:dyDescent="0.2">
      <c r="A11" s="54"/>
      <c r="B11" s="55"/>
      <c r="C11" s="53"/>
      <c r="D11" s="53"/>
      <c r="E11" s="53"/>
      <c r="F11" s="53"/>
      <c r="G11" s="53"/>
      <c r="H11" s="53"/>
      <c r="I11" s="56"/>
      <c r="J11" s="56"/>
      <c r="K11" s="53"/>
      <c r="L11" s="56"/>
      <c r="M11" s="56"/>
      <c r="N11" s="56"/>
      <c r="O11" s="56"/>
      <c r="P11" s="56"/>
      <c r="Q11" s="56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7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8" ht="74.25" customHeight="1" x14ac:dyDescent="0.8">
      <c r="A12" s="14" t="s">
        <v>17</v>
      </c>
      <c r="B12" s="15" t="s">
        <v>57</v>
      </c>
      <c r="C12" s="41"/>
      <c r="D12" s="41">
        <v>25323400</v>
      </c>
      <c r="E12" s="41">
        <f>15007100+190000</f>
        <v>15197100</v>
      </c>
      <c r="F12" s="41">
        <v>3700</v>
      </c>
      <c r="G12" s="40">
        <v>64506</v>
      </c>
      <c r="H12" s="40"/>
      <c r="I12" s="40"/>
      <c r="J12" s="40"/>
      <c r="K12" s="40">
        <f>L12+M12+N12+O12+P12+Q12</f>
        <v>384614</v>
      </c>
      <c r="L12" s="40"/>
      <c r="M12" s="40"/>
      <c r="N12" s="40"/>
      <c r="O12" s="40">
        <v>384614</v>
      </c>
      <c r="P12" s="40"/>
      <c r="Q12" s="40"/>
      <c r="R12" s="40">
        <v>23496</v>
      </c>
      <c r="S12" s="40"/>
      <c r="T12" s="40"/>
      <c r="U12" s="40"/>
      <c r="V12" s="40"/>
      <c r="W12" s="40"/>
      <c r="X12" s="40"/>
      <c r="Y12" s="40"/>
      <c r="Z12" s="40"/>
      <c r="AA12" s="40"/>
      <c r="AB12" s="40">
        <v>520000</v>
      </c>
      <c r="AC12" s="40"/>
      <c r="AD12" s="40"/>
      <c r="AE12" s="40"/>
      <c r="AF12" s="40"/>
      <c r="AG12" s="40"/>
      <c r="AH12" s="40"/>
      <c r="AI12" s="40">
        <f t="shared" ref="AI12:AI43" si="0">SUM(C12:AH12)-I12-J12-L12-M12-N12-O12-P12-Q12</f>
        <v>41516816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>
        <v>23000</v>
      </c>
      <c r="AX12" s="40"/>
      <c r="AY12" s="40"/>
      <c r="AZ12" s="40"/>
      <c r="BA12" s="40"/>
      <c r="BB12" s="40"/>
      <c r="BC12" s="40"/>
      <c r="BD12" s="40"/>
      <c r="BE12" s="40">
        <f>SUM(AJ12:BD12)</f>
        <v>23000</v>
      </c>
    </row>
    <row r="13" spans="1:58" ht="74.25" customHeight="1" x14ac:dyDescent="0.8">
      <c r="A13" s="14" t="s">
        <v>18</v>
      </c>
      <c r="B13" s="15" t="s">
        <v>139</v>
      </c>
      <c r="C13" s="41"/>
      <c r="D13" s="41">
        <v>1016902400</v>
      </c>
      <c r="E13" s="41">
        <f>521748200+61350000</f>
        <v>583098200</v>
      </c>
      <c r="F13" s="41">
        <v>737000</v>
      </c>
      <c r="G13" s="40">
        <v>10861151</v>
      </c>
      <c r="H13" s="40"/>
      <c r="I13" s="40"/>
      <c r="J13" s="40"/>
      <c r="K13" s="40">
        <f t="shared" ref="K13:K47" si="1">L13+M13+N13+O13+P13+Q13</f>
        <v>7842352</v>
      </c>
      <c r="L13" s="40">
        <v>150000</v>
      </c>
      <c r="M13" s="40"/>
      <c r="N13" s="40"/>
      <c r="O13" s="40">
        <v>7692352</v>
      </c>
      <c r="P13" s="40"/>
      <c r="Q13" s="40"/>
      <c r="R13" s="40">
        <v>1903179</v>
      </c>
      <c r="S13" s="40"/>
      <c r="T13" s="40"/>
      <c r="U13" s="40"/>
      <c r="V13" s="40"/>
      <c r="W13" s="40"/>
      <c r="X13" s="40"/>
      <c r="Y13" s="40"/>
      <c r="Z13" s="40"/>
      <c r="AA13" s="40"/>
      <c r="AB13" s="40">
        <v>13258000</v>
      </c>
      <c r="AC13" s="40"/>
      <c r="AD13" s="40"/>
      <c r="AE13" s="40"/>
      <c r="AF13" s="40"/>
      <c r="AG13" s="40"/>
      <c r="AH13" s="40"/>
      <c r="AI13" s="40">
        <f t="shared" si="0"/>
        <v>1634602282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>
        <f>6250</f>
        <v>6250</v>
      </c>
      <c r="AY13" s="40"/>
      <c r="AZ13" s="40"/>
      <c r="BA13" s="40">
        <v>1380400</v>
      </c>
      <c r="BB13" s="40">
        <f>120100</f>
        <v>120100</v>
      </c>
      <c r="BC13" s="40"/>
      <c r="BD13" s="40"/>
      <c r="BE13" s="40">
        <f t="shared" ref="BE13:BE76" si="2">SUM(AJ13:BD13)</f>
        <v>1506750</v>
      </c>
    </row>
    <row r="14" spans="1:58" ht="74.25" customHeight="1" x14ac:dyDescent="0.8">
      <c r="A14" s="14" t="s">
        <v>19</v>
      </c>
      <c r="B14" s="15" t="s">
        <v>222</v>
      </c>
      <c r="C14" s="41"/>
      <c r="D14" s="41">
        <v>276597900</v>
      </c>
      <c r="E14" s="41">
        <f>264008600+8500000</f>
        <v>272508600</v>
      </c>
      <c r="F14" s="41">
        <v>271100</v>
      </c>
      <c r="G14" s="40">
        <v>7929056</v>
      </c>
      <c r="H14" s="40"/>
      <c r="I14" s="40"/>
      <c r="J14" s="40"/>
      <c r="K14" s="40">
        <f t="shared" si="1"/>
        <v>769228</v>
      </c>
      <c r="L14" s="40"/>
      <c r="M14" s="40"/>
      <c r="N14" s="40"/>
      <c r="O14" s="40">
        <v>769228</v>
      </c>
      <c r="P14" s="40"/>
      <c r="Q14" s="40"/>
      <c r="R14" s="40">
        <v>1057321</v>
      </c>
      <c r="S14" s="40"/>
      <c r="T14" s="40"/>
      <c r="U14" s="40"/>
      <c r="V14" s="40"/>
      <c r="W14" s="40"/>
      <c r="X14" s="40"/>
      <c r="Y14" s="40"/>
      <c r="Z14" s="40"/>
      <c r="AA14" s="40">
        <v>6841400</v>
      </c>
      <c r="AB14" s="40">
        <f>900000+55000</f>
        <v>955000</v>
      </c>
      <c r="AC14" s="40"/>
      <c r="AD14" s="40"/>
      <c r="AE14" s="40"/>
      <c r="AF14" s="40"/>
      <c r="AG14" s="40"/>
      <c r="AH14" s="40"/>
      <c r="AI14" s="40">
        <f t="shared" si="0"/>
        <v>566929605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>
        <v>60000000</v>
      </c>
      <c r="BD14" s="40"/>
      <c r="BE14" s="40">
        <f t="shared" si="2"/>
        <v>60000000</v>
      </c>
    </row>
    <row r="15" spans="1:58" ht="74.25" customHeight="1" x14ac:dyDescent="0.8">
      <c r="A15" s="14" t="s">
        <v>20</v>
      </c>
      <c r="B15" s="15" t="s">
        <v>58</v>
      </c>
      <c r="C15" s="41"/>
      <c r="D15" s="41">
        <v>65050900</v>
      </c>
      <c r="E15" s="41">
        <f>72798000-3900000+457800</f>
        <v>69355800</v>
      </c>
      <c r="F15" s="41">
        <v>1219500</v>
      </c>
      <c r="G15" s="40">
        <v>1671192</v>
      </c>
      <c r="H15" s="40"/>
      <c r="I15" s="40"/>
      <c r="J15" s="40"/>
      <c r="K15" s="40">
        <f t="shared" si="1"/>
        <v>192307</v>
      </c>
      <c r="L15" s="40"/>
      <c r="M15" s="40"/>
      <c r="N15" s="40"/>
      <c r="O15" s="40">
        <v>192307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>
        <v>1662100</v>
      </c>
      <c r="AB15" s="40">
        <v>560000</v>
      </c>
      <c r="AC15" s="40"/>
      <c r="AD15" s="40"/>
      <c r="AE15" s="40"/>
      <c r="AF15" s="40"/>
      <c r="AG15" s="40"/>
      <c r="AH15" s="40"/>
      <c r="AI15" s="40">
        <f t="shared" si="0"/>
        <v>139711799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>
        <v>47000</v>
      </c>
      <c r="AX15" s="40"/>
      <c r="AY15" s="40"/>
      <c r="AZ15" s="40"/>
      <c r="BA15" s="40"/>
      <c r="BB15" s="40"/>
      <c r="BC15" s="40"/>
      <c r="BD15" s="40"/>
      <c r="BE15" s="40">
        <f t="shared" si="2"/>
        <v>47000</v>
      </c>
    </row>
    <row r="16" spans="1:58" ht="74.25" customHeight="1" x14ac:dyDescent="0.8">
      <c r="A16" s="14" t="s">
        <v>21</v>
      </c>
      <c r="B16" s="15" t="s">
        <v>59</v>
      </c>
      <c r="C16" s="41"/>
      <c r="D16" s="41">
        <v>743272600</v>
      </c>
      <c r="E16" s="41">
        <f>602468700+83950000-4708200</f>
        <v>681710500</v>
      </c>
      <c r="F16" s="40">
        <v>2089000</v>
      </c>
      <c r="G16" s="40">
        <v>10848487</v>
      </c>
      <c r="H16" s="40"/>
      <c r="I16" s="40"/>
      <c r="J16" s="40"/>
      <c r="K16" s="40">
        <f t="shared" si="1"/>
        <v>1730763</v>
      </c>
      <c r="L16" s="40"/>
      <c r="M16" s="40"/>
      <c r="N16" s="40"/>
      <c r="O16" s="40">
        <v>1730763</v>
      </c>
      <c r="P16" s="40"/>
      <c r="Q16" s="40"/>
      <c r="R16" s="40">
        <v>8200117</v>
      </c>
      <c r="S16" s="40"/>
      <c r="T16" s="40"/>
      <c r="U16" s="40"/>
      <c r="V16" s="40"/>
      <c r="W16" s="40"/>
      <c r="X16" s="40"/>
      <c r="Y16" s="40"/>
      <c r="Z16" s="40"/>
      <c r="AA16" s="40"/>
      <c r="AB16" s="40">
        <f>14680000+250000+30000</f>
        <v>14960000</v>
      </c>
      <c r="AC16" s="40"/>
      <c r="AD16" s="40"/>
      <c r="AE16" s="40"/>
      <c r="AF16" s="40"/>
      <c r="AG16" s="40"/>
      <c r="AH16" s="40">
        <v>11000000</v>
      </c>
      <c r="AI16" s="40">
        <f t="shared" si="0"/>
        <v>1473811467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>
        <v>2504261</v>
      </c>
      <c r="AZ16" s="40"/>
      <c r="BA16" s="40"/>
      <c r="BB16" s="40"/>
      <c r="BC16" s="40"/>
      <c r="BD16" s="40"/>
      <c r="BE16" s="40">
        <f t="shared" si="2"/>
        <v>2504261</v>
      </c>
    </row>
    <row r="17" spans="1:57" ht="74.25" customHeight="1" x14ac:dyDescent="0.8">
      <c r="A17" s="14" t="s">
        <v>22</v>
      </c>
      <c r="B17" s="15" t="s">
        <v>60</v>
      </c>
      <c r="C17" s="41"/>
      <c r="D17" s="41">
        <v>66746200</v>
      </c>
      <c r="E17" s="41">
        <f>61362500-9000000+1218900</f>
        <v>53581400</v>
      </c>
      <c r="F17" s="41">
        <v>171500</v>
      </c>
      <c r="G17" s="40">
        <v>4432232</v>
      </c>
      <c r="H17" s="40"/>
      <c r="I17" s="40"/>
      <c r="J17" s="40"/>
      <c r="K17" s="40">
        <f t="shared" si="1"/>
        <v>769228</v>
      </c>
      <c r="L17" s="40"/>
      <c r="M17" s="40"/>
      <c r="N17" s="40"/>
      <c r="O17" s="40">
        <v>769228</v>
      </c>
      <c r="P17" s="40"/>
      <c r="Q17" s="40"/>
      <c r="R17" s="40">
        <v>93984</v>
      </c>
      <c r="S17" s="40"/>
      <c r="T17" s="40"/>
      <c r="U17" s="40"/>
      <c r="V17" s="40"/>
      <c r="W17" s="40"/>
      <c r="X17" s="40"/>
      <c r="Y17" s="40"/>
      <c r="Z17" s="40"/>
      <c r="AA17" s="40">
        <v>2142300</v>
      </c>
      <c r="AB17" s="40">
        <v>1030000</v>
      </c>
      <c r="AC17" s="40"/>
      <c r="AD17" s="40"/>
      <c r="AE17" s="40"/>
      <c r="AF17" s="40"/>
      <c r="AG17" s="40"/>
      <c r="AH17" s="40"/>
      <c r="AI17" s="40">
        <f t="shared" si="0"/>
        <v>128966844</v>
      </c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>
        <v>20000</v>
      </c>
      <c r="BB17" s="40"/>
      <c r="BC17" s="40"/>
      <c r="BD17" s="40"/>
      <c r="BE17" s="40">
        <f t="shared" si="2"/>
        <v>20000</v>
      </c>
    </row>
    <row r="18" spans="1:57" ht="74.25" customHeight="1" x14ac:dyDescent="0.8">
      <c r="A18" s="14" t="s">
        <v>23</v>
      </c>
      <c r="B18" s="15" t="s">
        <v>61</v>
      </c>
      <c r="C18" s="41"/>
      <c r="D18" s="41">
        <v>157636500</v>
      </c>
      <c r="E18" s="41">
        <f>113172900+10400000+1713700</f>
        <v>125286600</v>
      </c>
      <c r="F18" s="41">
        <v>145400</v>
      </c>
      <c r="G18" s="40">
        <v>3115550</v>
      </c>
      <c r="H18" s="40"/>
      <c r="I18" s="40"/>
      <c r="J18" s="40"/>
      <c r="K18" s="40">
        <f t="shared" si="1"/>
        <v>4636107</v>
      </c>
      <c r="L18" s="40"/>
      <c r="M18" s="40">
        <v>4443800</v>
      </c>
      <c r="N18" s="40"/>
      <c r="O18" s="40">
        <v>192307</v>
      </c>
      <c r="P18" s="40"/>
      <c r="Q18" s="40"/>
      <c r="R18" s="40">
        <v>2232123</v>
      </c>
      <c r="S18" s="40"/>
      <c r="T18" s="40"/>
      <c r="U18" s="40"/>
      <c r="V18" s="40"/>
      <c r="W18" s="40"/>
      <c r="X18" s="40"/>
      <c r="Y18" s="40"/>
      <c r="Z18" s="40"/>
      <c r="AA18" s="40">
        <v>1046900</v>
      </c>
      <c r="AB18" s="40">
        <f>1800000-40000</f>
        <v>1760000</v>
      </c>
      <c r="AC18" s="40"/>
      <c r="AD18" s="40"/>
      <c r="AE18" s="40"/>
      <c r="AF18" s="40"/>
      <c r="AG18" s="40"/>
      <c r="AH18" s="40"/>
      <c r="AI18" s="40">
        <f t="shared" si="0"/>
        <v>295859180</v>
      </c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>
        <f>115000</f>
        <v>115000</v>
      </c>
      <c r="AX18" s="40"/>
      <c r="AY18" s="40"/>
      <c r="AZ18" s="40"/>
      <c r="BA18" s="40"/>
      <c r="BB18" s="40"/>
      <c r="BC18" s="40"/>
      <c r="BD18" s="40"/>
      <c r="BE18" s="40">
        <f t="shared" si="2"/>
        <v>115000</v>
      </c>
    </row>
    <row r="19" spans="1:57" ht="74.25" customHeight="1" x14ac:dyDescent="0.8">
      <c r="A19" s="14" t="s">
        <v>24</v>
      </c>
      <c r="B19" s="15" t="s">
        <v>62</v>
      </c>
      <c r="C19" s="41"/>
      <c r="D19" s="41">
        <v>93730900</v>
      </c>
      <c r="E19" s="41">
        <f>84890400-1800000</f>
        <v>83090400</v>
      </c>
      <c r="F19" s="41">
        <v>132400</v>
      </c>
      <c r="G19" s="40">
        <v>1658608</v>
      </c>
      <c r="H19" s="40"/>
      <c r="I19" s="40"/>
      <c r="J19" s="40"/>
      <c r="K19" s="40">
        <f t="shared" si="1"/>
        <v>7429156</v>
      </c>
      <c r="L19" s="40"/>
      <c r="M19" s="40">
        <v>7044542</v>
      </c>
      <c r="N19" s="40"/>
      <c r="O19" s="40">
        <v>384614</v>
      </c>
      <c r="P19" s="40"/>
      <c r="Q19" s="40"/>
      <c r="R19" s="40">
        <v>211464</v>
      </c>
      <c r="S19" s="40"/>
      <c r="T19" s="40"/>
      <c r="U19" s="40"/>
      <c r="V19" s="40"/>
      <c r="W19" s="40"/>
      <c r="X19" s="40"/>
      <c r="Y19" s="40"/>
      <c r="Z19" s="40"/>
      <c r="AA19" s="40">
        <v>3408800</v>
      </c>
      <c r="AB19" s="40">
        <v>1513000</v>
      </c>
      <c r="AC19" s="40"/>
      <c r="AD19" s="40"/>
      <c r="AE19" s="40"/>
      <c r="AF19" s="40"/>
      <c r="AG19" s="40"/>
      <c r="AH19" s="40"/>
      <c r="AI19" s="40">
        <f t="shared" si="0"/>
        <v>191174728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>
        <v>142000</v>
      </c>
      <c r="BB19" s="40"/>
      <c r="BC19" s="40"/>
      <c r="BD19" s="40"/>
      <c r="BE19" s="40">
        <f t="shared" si="2"/>
        <v>142000</v>
      </c>
    </row>
    <row r="20" spans="1:57" ht="74.25" customHeight="1" x14ac:dyDescent="0.8">
      <c r="A20" s="14" t="s">
        <v>25</v>
      </c>
      <c r="B20" s="15" t="s">
        <v>115</v>
      </c>
      <c r="C20" s="41"/>
      <c r="D20" s="41">
        <v>53262700</v>
      </c>
      <c r="E20" s="41">
        <f>53675600-12050000</f>
        <v>41625600</v>
      </c>
      <c r="F20" s="41">
        <v>263400</v>
      </c>
      <c r="G20" s="40">
        <v>954088</v>
      </c>
      <c r="H20" s="40"/>
      <c r="I20" s="40"/>
      <c r="J20" s="40"/>
      <c r="K20" s="40">
        <f t="shared" si="1"/>
        <v>192307</v>
      </c>
      <c r="L20" s="40"/>
      <c r="M20" s="40"/>
      <c r="N20" s="40"/>
      <c r="O20" s="40">
        <v>192307</v>
      </c>
      <c r="P20" s="40"/>
      <c r="Q20" s="40"/>
      <c r="R20" s="40">
        <v>2349604</v>
      </c>
      <c r="S20" s="40"/>
      <c r="T20" s="40"/>
      <c r="U20" s="40"/>
      <c r="V20" s="40"/>
      <c r="W20" s="40"/>
      <c r="X20" s="40"/>
      <c r="Y20" s="40"/>
      <c r="Z20" s="40"/>
      <c r="AA20" s="40">
        <v>1213800</v>
      </c>
      <c r="AB20" s="40">
        <f>1225000-35000</f>
        <v>1190000</v>
      </c>
      <c r="AC20" s="40"/>
      <c r="AD20" s="40"/>
      <c r="AE20" s="40"/>
      <c r="AF20" s="40"/>
      <c r="AG20" s="40"/>
      <c r="AH20" s="40"/>
      <c r="AI20" s="40">
        <f t="shared" si="0"/>
        <v>101051499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>
        <v>84000</v>
      </c>
      <c r="AX20" s="40"/>
      <c r="AY20" s="40"/>
      <c r="AZ20" s="40"/>
      <c r="BA20" s="40"/>
      <c r="BB20" s="40"/>
      <c r="BC20" s="40"/>
      <c r="BD20" s="40"/>
      <c r="BE20" s="40">
        <f t="shared" si="2"/>
        <v>84000</v>
      </c>
    </row>
    <row r="21" spans="1:57" ht="74.25" customHeight="1" x14ac:dyDescent="0.8">
      <c r="A21" s="14" t="s">
        <v>26</v>
      </c>
      <c r="B21" s="15" t="s">
        <v>63</v>
      </c>
      <c r="C21" s="41"/>
      <c r="D21" s="41">
        <v>131725900</v>
      </c>
      <c r="E21" s="41">
        <f>101590000+18690000</f>
        <v>120280000</v>
      </c>
      <c r="F21" s="41">
        <v>559000</v>
      </c>
      <c r="G21" s="40">
        <v>2413734</v>
      </c>
      <c r="H21" s="40"/>
      <c r="I21" s="40"/>
      <c r="J21" s="40"/>
      <c r="K21" s="40">
        <f t="shared" si="1"/>
        <v>576921</v>
      </c>
      <c r="L21" s="40"/>
      <c r="M21" s="40"/>
      <c r="N21" s="40"/>
      <c r="O21" s="40">
        <v>576921</v>
      </c>
      <c r="P21" s="40"/>
      <c r="Q21" s="40"/>
      <c r="R21" s="40">
        <v>93984</v>
      </c>
      <c r="S21" s="40"/>
      <c r="T21" s="40"/>
      <c r="U21" s="40"/>
      <c r="V21" s="40"/>
      <c r="W21" s="40"/>
      <c r="X21" s="40"/>
      <c r="Y21" s="40"/>
      <c r="Z21" s="40"/>
      <c r="AA21" s="40">
        <v>2664000</v>
      </c>
      <c r="AB21" s="40">
        <v>2930000</v>
      </c>
      <c r="AC21" s="40"/>
      <c r="AD21" s="40"/>
      <c r="AE21" s="40"/>
      <c r="AF21" s="40"/>
      <c r="AG21" s="40"/>
      <c r="AH21" s="40"/>
      <c r="AI21" s="40">
        <f t="shared" si="0"/>
        <v>261243539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>
        <v>216000</v>
      </c>
      <c r="AX21" s="40"/>
      <c r="AY21" s="40"/>
      <c r="AZ21" s="40">
        <f>1891910</f>
        <v>1891910</v>
      </c>
      <c r="BA21" s="40"/>
      <c r="BB21" s="40"/>
      <c r="BC21" s="40"/>
      <c r="BD21" s="40"/>
      <c r="BE21" s="40">
        <f t="shared" si="2"/>
        <v>2107910</v>
      </c>
    </row>
    <row r="22" spans="1:57" ht="74.25" customHeight="1" x14ac:dyDescent="0.8">
      <c r="A22" s="14" t="s">
        <v>27</v>
      </c>
      <c r="B22" s="15" t="s">
        <v>64</v>
      </c>
      <c r="C22" s="41"/>
      <c r="D22" s="41">
        <v>30698500</v>
      </c>
      <c r="E22" s="41">
        <f>9050000-2550000+788600</f>
        <v>7288600</v>
      </c>
      <c r="F22" s="41"/>
      <c r="G22" s="40">
        <v>1735671</v>
      </c>
      <c r="H22" s="40"/>
      <c r="I22" s="40"/>
      <c r="J22" s="40"/>
      <c r="K22" s="40">
        <f t="shared" si="1"/>
        <v>384614</v>
      </c>
      <c r="L22" s="40"/>
      <c r="M22" s="40"/>
      <c r="N22" s="40"/>
      <c r="O22" s="40">
        <v>384614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>
        <v>750000</v>
      </c>
      <c r="AC22" s="40"/>
      <c r="AD22" s="40"/>
      <c r="AE22" s="40"/>
      <c r="AF22" s="40"/>
      <c r="AG22" s="40"/>
      <c r="AH22" s="40"/>
      <c r="AI22" s="40">
        <f t="shared" si="0"/>
        <v>40857385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>
        <v>29000</v>
      </c>
      <c r="AX22" s="40"/>
      <c r="AY22" s="40"/>
      <c r="AZ22" s="40"/>
      <c r="BA22" s="40"/>
      <c r="BB22" s="40"/>
      <c r="BC22" s="40"/>
      <c r="BD22" s="40"/>
      <c r="BE22" s="40">
        <f t="shared" si="2"/>
        <v>29000</v>
      </c>
    </row>
    <row r="23" spans="1:57" ht="74.25" customHeight="1" x14ac:dyDescent="0.8">
      <c r="A23" s="14" t="s">
        <v>28</v>
      </c>
      <c r="B23" s="15" t="s">
        <v>65</v>
      </c>
      <c r="C23" s="41"/>
      <c r="D23" s="41">
        <v>43137100</v>
      </c>
      <c r="E23" s="41">
        <f>52478900-8900000</f>
        <v>43578900</v>
      </c>
      <c r="F23" s="41">
        <v>380200</v>
      </c>
      <c r="G23" s="40">
        <v>1226429</v>
      </c>
      <c r="H23" s="40"/>
      <c r="I23" s="40"/>
      <c r="J23" s="40"/>
      <c r="K23" s="40">
        <f t="shared" si="1"/>
        <v>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>
        <v>1020700</v>
      </c>
      <c r="AB23" s="40">
        <f>650000+125000</f>
        <v>775000</v>
      </c>
      <c r="AC23" s="40"/>
      <c r="AD23" s="40"/>
      <c r="AE23" s="40"/>
      <c r="AF23" s="40"/>
      <c r="AG23" s="40"/>
      <c r="AH23" s="40"/>
      <c r="AI23" s="40">
        <f t="shared" si="0"/>
        <v>90118329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>
        <f t="shared" si="2"/>
        <v>0</v>
      </c>
    </row>
    <row r="24" spans="1:57" ht="74.25" customHeight="1" x14ac:dyDescent="0.8">
      <c r="A24" s="14" t="s">
        <v>29</v>
      </c>
      <c r="B24" s="15" t="s">
        <v>66</v>
      </c>
      <c r="C24" s="41"/>
      <c r="D24" s="41">
        <v>29121300</v>
      </c>
      <c r="E24" s="41">
        <f>9315100-2740000+529200</f>
        <v>7104300</v>
      </c>
      <c r="F24" s="41">
        <v>178100</v>
      </c>
      <c r="G24" s="40">
        <v>1803720</v>
      </c>
      <c r="H24" s="40"/>
      <c r="I24" s="40"/>
      <c r="J24" s="40"/>
      <c r="K24" s="40">
        <f t="shared" si="1"/>
        <v>0</v>
      </c>
      <c r="L24" s="40"/>
      <c r="M24" s="40"/>
      <c r="N24" s="40"/>
      <c r="O24" s="40"/>
      <c r="P24" s="40"/>
      <c r="Q24" s="40"/>
      <c r="R24" s="40">
        <v>23496</v>
      </c>
      <c r="S24" s="40"/>
      <c r="T24" s="40"/>
      <c r="U24" s="40"/>
      <c r="V24" s="40"/>
      <c r="W24" s="40"/>
      <c r="X24" s="40"/>
      <c r="Y24" s="40"/>
      <c r="Z24" s="40"/>
      <c r="AA24" s="40"/>
      <c r="AB24" s="40">
        <v>550000</v>
      </c>
      <c r="AC24" s="40"/>
      <c r="AD24" s="40"/>
      <c r="AE24" s="40"/>
      <c r="AF24" s="40"/>
      <c r="AG24" s="40"/>
      <c r="AH24" s="40"/>
      <c r="AI24" s="40">
        <f t="shared" si="0"/>
        <v>38780916</v>
      </c>
      <c r="AJ24" s="40"/>
      <c r="AK24" s="40"/>
      <c r="AL24" s="40"/>
      <c r="AM24" s="40">
        <v>98271</v>
      </c>
      <c r="AN24" s="40"/>
      <c r="AO24" s="40"/>
      <c r="AP24" s="40"/>
      <c r="AQ24" s="40"/>
      <c r="AR24" s="40"/>
      <c r="AS24" s="40"/>
      <c r="AT24" s="40"/>
      <c r="AU24" s="40"/>
      <c r="AV24" s="40"/>
      <c r="AW24" s="40">
        <v>29000</v>
      </c>
      <c r="AX24" s="40"/>
      <c r="AY24" s="40"/>
      <c r="AZ24" s="40"/>
      <c r="BA24" s="40"/>
      <c r="BB24" s="40"/>
      <c r="BC24" s="40"/>
      <c r="BD24" s="40"/>
      <c r="BE24" s="40">
        <f t="shared" si="2"/>
        <v>127271</v>
      </c>
    </row>
    <row r="25" spans="1:57" ht="74.25" customHeight="1" x14ac:dyDescent="0.8">
      <c r="A25" s="14"/>
      <c r="B25" s="15" t="s">
        <v>56</v>
      </c>
      <c r="C25" s="41">
        <f t="shared" ref="C25:AF25" si="3">C12+C13+C14+C15+C16+C17+C18+C19+C20+C21+C22+C23+C24</f>
        <v>0</v>
      </c>
      <c r="D25" s="41">
        <f t="shared" si="3"/>
        <v>2733206300</v>
      </c>
      <c r="E25" s="41">
        <f t="shared" si="3"/>
        <v>2103706000</v>
      </c>
      <c r="F25" s="41">
        <f t="shared" si="3"/>
        <v>6150300</v>
      </c>
      <c r="G25" s="41">
        <f t="shared" si="3"/>
        <v>48714424</v>
      </c>
      <c r="H25" s="41">
        <f t="shared" si="3"/>
        <v>0</v>
      </c>
      <c r="I25" s="41">
        <f t="shared" si="3"/>
        <v>0</v>
      </c>
      <c r="J25" s="41">
        <f t="shared" si="3"/>
        <v>0</v>
      </c>
      <c r="K25" s="41">
        <f t="shared" ref="K25:Q25" si="4">K12+K13+K14+K15+K16+K17+K18+K19+K20+K21+K22+K23+K24</f>
        <v>24907597</v>
      </c>
      <c r="L25" s="41">
        <f t="shared" si="4"/>
        <v>150000</v>
      </c>
      <c r="M25" s="41">
        <f t="shared" si="4"/>
        <v>11488342</v>
      </c>
      <c r="N25" s="41">
        <f t="shared" si="4"/>
        <v>0</v>
      </c>
      <c r="O25" s="41">
        <f t="shared" si="4"/>
        <v>13269255</v>
      </c>
      <c r="P25" s="41">
        <f t="shared" si="4"/>
        <v>0</v>
      </c>
      <c r="Q25" s="41">
        <f t="shared" si="4"/>
        <v>0</v>
      </c>
      <c r="R25" s="41">
        <f t="shared" si="3"/>
        <v>16188768</v>
      </c>
      <c r="S25" s="41">
        <f t="shared" si="3"/>
        <v>0</v>
      </c>
      <c r="T25" s="41">
        <f t="shared" si="3"/>
        <v>0</v>
      </c>
      <c r="U25" s="41">
        <f t="shared" si="3"/>
        <v>0</v>
      </c>
      <c r="V25" s="41">
        <f t="shared" si="3"/>
        <v>0</v>
      </c>
      <c r="W25" s="41">
        <f t="shared" si="3"/>
        <v>0</v>
      </c>
      <c r="X25" s="41">
        <f t="shared" si="3"/>
        <v>0</v>
      </c>
      <c r="Y25" s="41">
        <f t="shared" si="3"/>
        <v>0</v>
      </c>
      <c r="Z25" s="41">
        <f t="shared" si="3"/>
        <v>0</v>
      </c>
      <c r="AA25" s="41">
        <f t="shared" si="3"/>
        <v>20000000</v>
      </c>
      <c r="AB25" s="41">
        <f t="shared" si="3"/>
        <v>40751000</v>
      </c>
      <c r="AC25" s="41">
        <f t="shared" si="3"/>
        <v>0</v>
      </c>
      <c r="AD25" s="41">
        <f t="shared" si="3"/>
        <v>0</v>
      </c>
      <c r="AE25" s="41">
        <f t="shared" si="3"/>
        <v>0</v>
      </c>
      <c r="AF25" s="41">
        <f t="shared" si="3"/>
        <v>0</v>
      </c>
      <c r="AG25" s="41"/>
      <c r="AH25" s="41">
        <f>AH12+AH13+AH14+AH15+AH16+AH17+AH18+AH19+AH20+AH21+AH22+AH23+AH24</f>
        <v>11000000</v>
      </c>
      <c r="AI25" s="40">
        <f t="shared" si="0"/>
        <v>5004624389</v>
      </c>
      <c r="AJ25" s="41">
        <f>AJ12+AJ13+AJ14+AJ15+AJ16+AJ17+AJ18+AJ19+AJ20+AJ21+AJ22+AJ23+AJ24</f>
        <v>0</v>
      </c>
      <c r="AK25" s="41">
        <f t="shared" ref="AK25:BB25" si="5">AK12+AK13+AK14+AK15+AK16+AK17+AK18+AK19+AK20+AK21+AK22+AK23+AK24</f>
        <v>0</v>
      </c>
      <c r="AL25" s="41">
        <f t="shared" si="5"/>
        <v>0</v>
      </c>
      <c r="AM25" s="41">
        <f t="shared" si="5"/>
        <v>98271</v>
      </c>
      <c r="AN25" s="41">
        <f t="shared" si="5"/>
        <v>0</v>
      </c>
      <c r="AO25" s="41">
        <f t="shared" si="5"/>
        <v>0</v>
      </c>
      <c r="AP25" s="41">
        <f t="shared" si="5"/>
        <v>0</v>
      </c>
      <c r="AQ25" s="41">
        <f t="shared" si="5"/>
        <v>0</v>
      </c>
      <c r="AR25" s="41">
        <f t="shared" si="5"/>
        <v>0</v>
      </c>
      <c r="AS25" s="41">
        <f t="shared" si="5"/>
        <v>0</v>
      </c>
      <c r="AT25" s="41">
        <f t="shared" si="5"/>
        <v>0</v>
      </c>
      <c r="AU25" s="41">
        <f t="shared" si="5"/>
        <v>0</v>
      </c>
      <c r="AV25" s="41">
        <f t="shared" si="5"/>
        <v>0</v>
      </c>
      <c r="AW25" s="41">
        <f t="shared" si="5"/>
        <v>543000</v>
      </c>
      <c r="AX25" s="41">
        <f t="shared" si="5"/>
        <v>6250</v>
      </c>
      <c r="AY25" s="41">
        <f t="shared" si="5"/>
        <v>2504261</v>
      </c>
      <c r="AZ25" s="41">
        <f t="shared" si="5"/>
        <v>1891910</v>
      </c>
      <c r="BA25" s="41">
        <f t="shared" si="5"/>
        <v>1542400</v>
      </c>
      <c r="BB25" s="41">
        <f t="shared" si="5"/>
        <v>120100</v>
      </c>
      <c r="BC25" s="41">
        <f>BC12+BC13+BC14+BC15+BC16+BC17+BC18+BC19+BC20+BC21+BC22+BC23+BC24</f>
        <v>60000000</v>
      </c>
      <c r="BD25" s="41">
        <f>BD12+BD13+BD14+BD15+BD16+BD17+BD18+BD19+BD20+BD21+BD22+BD23+BD24</f>
        <v>0</v>
      </c>
      <c r="BE25" s="40">
        <f t="shared" si="2"/>
        <v>66706192</v>
      </c>
    </row>
    <row r="26" spans="1:57" ht="74.25" customHeight="1" x14ac:dyDescent="0.8">
      <c r="A26" s="14" t="s">
        <v>30</v>
      </c>
      <c r="B26" s="15" t="s">
        <v>55</v>
      </c>
      <c r="C26" s="41"/>
      <c r="D26" s="41">
        <v>85794600</v>
      </c>
      <c r="E26" s="41">
        <f>85676100-15200000</f>
        <v>70476100</v>
      </c>
      <c r="F26" s="41">
        <v>2146000</v>
      </c>
      <c r="G26" s="40">
        <v>4954226</v>
      </c>
      <c r="H26" s="40"/>
      <c r="I26" s="40"/>
      <c r="J26" s="40"/>
      <c r="K26" s="40">
        <f t="shared" si="1"/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>
        <v>365000</v>
      </c>
      <c r="AC26" s="40"/>
      <c r="AD26" s="40">
        <v>90000</v>
      </c>
      <c r="AE26" s="40"/>
      <c r="AF26" s="40"/>
      <c r="AG26" s="40"/>
      <c r="AH26" s="40"/>
      <c r="AI26" s="40">
        <f t="shared" si="0"/>
        <v>163825926</v>
      </c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>
        <f t="shared" si="2"/>
        <v>0</v>
      </c>
    </row>
    <row r="27" spans="1:57" ht="74.25" customHeight="1" x14ac:dyDescent="0.8">
      <c r="A27" s="14" t="s">
        <v>31</v>
      </c>
      <c r="B27" s="15" t="s">
        <v>67</v>
      </c>
      <c r="C27" s="41"/>
      <c r="D27" s="41">
        <v>60618400</v>
      </c>
      <c r="E27" s="41">
        <f>45153600-6850000</f>
        <v>38303600</v>
      </c>
      <c r="F27" s="41">
        <v>1540900</v>
      </c>
      <c r="G27" s="40">
        <v>1656517</v>
      </c>
      <c r="H27" s="40"/>
      <c r="I27" s="40"/>
      <c r="J27" s="40"/>
      <c r="K27" s="40">
        <f t="shared" si="1"/>
        <v>769228</v>
      </c>
      <c r="L27" s="40"/>
      <c r="M27" s="40"/>
      <c r="N27" s="40"/>
      <c r="O27" s="40">
        <v>769228</v>
      </c>
      <c r="P27" s="40"/>
      <c r="Q27" s="40"/>
      <c r="R27" s="40">
        <v>93984</v>
      </c>
      <c r="S27" s="40"/>
      <c r="T27" s="40"/>
      <c r="U27" s="40"/>
      <c r="V27" s="40"/>
      <c r="W27" s="40"/>
      <c r="X27" s="40"/>
      <c r="Y27" s="40"/>
      <c r="Z27" s="40"/>
      <c r="AA27" s="40"/>
      <c r="AB27" s="40">
        <v>470000</v>
      </c>
      <c r="AC27" s="40"/>
      <c r="AD27" s="40">
        <f>59000+54000</f>
        <v>113000</v>
      </c>
      <c r="AE27" s="40"/>
      <c r="AF27" s="40"/>
      <c r="AG27" s="40">
        <v>600000</v>
      </c>
      <c r="AH27" s="40"/>
      <c r="AI27" s="40">
        <f t="shared" si="0"/>
        <v>104165629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>
        <f t="shared" si="2"/>
        <v>0</v>
      </c>
    </row>
    <row r="28" spans="1:57" ht="74.25" customHeight="1" x14ac:dyDescent="0.8">
      <c r="A28" s="14" t="s">
        <v>32</v>
      </c>
      <c r="B28" s="15" t="s">
        <v>68</v>
      </c>
      <c r="C28" s="41"/>
      <c r="D28" s="41">
        <v>93301000</v>
      </c>
      <c r="E28" s="41">
        <f>66934900-10550000</f>
        <v>56384900</v>
      </c>
      <c r="F28" s="41">
        <v>3238600</v>
      </c>
      <c r="G28" s="40">
        <v>7962859</v>
      </c>
      <c r="H28" s="40"/>
      <c r="I28" s="40"/>
      <c r="J28" s="40"/>
      <c r="K28" s="40">
        <f t="shared" si="1"/>
        <v>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f>650000+30000</f>
        <v>680000</v>
      </c>
      <c r="AC28" s="40"/>
      <c r="AD28" s="40">
        <f>130000+37000</f>
        <v>167000</v>
      </c>
      <c r="AE28" s="40">
        <f>1500000</f>
        <v>1500000</v>
      </c>
      <c r="AF28" s="40"/>
      <c r="AG28" s="40"/>
      <c r="AH28" s="40"/>
      <c r="AI28" s="40">
        <f t="shared" si="0"/>
        <v>163234359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>
        <v>50000</v>
      </c>
      <c r="BB28" s="40"/>
      <c r="BC28" s="40"/>
      <c r="BD28" s="40"/>
      <c r="BE28" s="40">
        <f t="shared" si="2"/>
        <v>50000</v>
      </c>
    </row>
    <row r="29" spans="1:57" ht="74.25" customHeight="1" x14ac:dyDescent="0.8">
      <c r="A29" s="14" t="s">
        <v>33</v>
      </c>
      <c r="B29" s="15" t="s">
        <v>116</v>
      </c>
      <c r="C29" s="41"/>
      <c r="D29" s="41">
        <v>99858400</v>
      </c>
      <c r="E29" s="41">
        <f>52320400-50000</f>
        <v>52270400</v>
      </c>
      <c r="F29" s="41">
        <v>1466400</v>
      </c>
      <c r="G29" s="40">
        <v>2150536</v>
      </c>
      <c r="H29" s="40"/>
      <c r="I29" s="40"/>
      <c r="J29" s="40"/>
      <c r="K29" s="40">
        <f t="shared" si="1"/>
        <v>3895458</v>
      </c>
      <c r="L29" s="40"/>
      <c r="M29" s="40"/>
      <c r="N29" s="40">
        <v>3895458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>
        <f>1550000-20000</f>
        <v>1530000</v>
      </c>
      <c r="AC29" s="40"/>
      <c r="AD29" s="40">
        <f>200000-70000</f>
        <v>130000</v>
      </c>
      <c r="AE29" s="40"/>
      <c r="AF29" s="40"/>
      <c r="AG29" s="40"/>
      <c r="AH29" s="40"/>
      <c r="AI29" s="40">
        <f t="shared" si="0"/>
        <v>161301194</v>
      </c>
      <c r="AJ29" s="40"/>
      <c r="AK29" s="40"/>
      <c r="AL29" s="40"/>
      <c r="AM29" s="40">
        <f>7000000+11419000</f>
        <v>18419000</v>
      </c>
      <c r="AN29" s="40"/>
      <c r="AO29" s="40"/>
      <c r="AP29" s="40"/>
      <c r="AQ29" s="40"/>
      <c r="AR29" s="40"/>
      <c r="AS29" s="40"/>
      <c r="AT29" s="40"/>
      <c r="AU29" s="40"/>
      <c r="AV29" s="40"/>
      <c r="AW29" s="40">
        <f>54000</f>
        <v>54000</v>
      </c>
      <c r="AX29" s="40"/>
      <c r="AY29" s="40"/>
      <c r="AZ29" s="40"/>
      <c r="BA29" s="40"/>
      <c r="BB29" s="40"/>
      <c r="BC29" s="40"/>
      <c r="BD29" s="40"/>
      <c r="BE29" s="40">
        <f t="shared" si="2"/>
        <v>18473000</v>
      </c>
    </row>
    <row r="30" spans="1:57" ht="74.25" customHeight="1" x14ac:dyDescent="0.8">
      <c r="A30" s="14" t="s">
        <v>34</v>
      </c>
      <c r="B30" s="15" t="s">
        <v>69</v>
      </c>
      <c r="C30" s="41"/>
      <c r="D30" s="41">
        <v>59589700</v>
      </c>
      <c r="E30" s="41">
        <f>31507500+5160000</f>
        <v>36667500</v>
      </c>
      <c r="F30" s="41">
        <v>1545300</v>
      </c>
      <c r="G30" s="40">
        <v>1278854</v>
      </c>
      <c r="H30" s="40"/>
      <c r="I30" s="40"/>
      <c r="J30" s="40"/>
      <c r="K30" s="40">
        <f t="shared" si="1"/>
        <v>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2">
        <f>1230000+92000</f>
        <v>1322000</v>
      </c>
      <c r="AC30" s="42"/>
      <c r="AD30" s="42">
        <f>150000+190000</f>
        <v>340000</v>
      </c>
      <c r="AE30" s="42"/>
      <c r="AF30" s="42"/>
      <c r="AG30" s="42"/>
      <c r="AH30" s="42"/>
      <c r="AI30" s="40">
        <f t="shared" si="0"/>
        <v>100743354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>
        <v>45000</v>
      </c>
      <c r="AX30" s="42"/>
      <c r="AY30" s="42"/>
      <c r="AZ30" s="42"/>
      <c r="BA30" s="42"/>
      <c r="BB30" s="42"/>
      <c r="BC30" s="42"/>
      <c r="BD30" s="42"/>
      <c r="BE30" s="40">
        <f t="shared" si="2"/>
        <v>45000</v>
      </c>
    </row>
    <row r="31" spans="1:57" ht="74.25" customHeight="1" x14ac:dyDescent="0.8">
      <c r="A31" s="14" t="s">
        <v>35</v>
      </c>
      <c r="B31" s="15" t="s">
        <v>70</v>
      </c>
      <c r="C31" s="41"/>
      <c r="D31" s="41">
        <v>60296200</v>
      </c>
      <c r="E31" s="41">
        <f>47207500-150000</f>
        <v>47057500</v>
      </c>
      <c r="F31" s="41">
        <v>1517300</v>
      </c>
      <c r="G31" s="40">
        <v>2877281</v>
      </c>
      <c r="H31" s="40"/>
      <c r="I31" s="40"/>
      <c r="J31" s="40"/>
      <c r="K31" s="40">
        <f t="shared" si="1"/>
        <v>7269308</v>
      </c>
      <c r="L31" s="40"/>
      <c r="M31" s="40"/>
      <c r="N31" s="40"/>
      <c r="O31" s="40">
        <v>769228</v>
      </c>
      <c r="P31" s="40">
        <v>6500080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2">
        <v>520000</v>
      </c>
      <c r="AC31" s="42"/>
      <c r="AD31" s="42">
        <f>74000+100000</f>
        <v>174000</v>
      </c>
      <c r="AE31" s="42"/>
      <c r="AF31" s="42"/>
      <c r="AG31" s="42"/>
      <c r="AH31" s="42"/>
      <c r="AI31" s="40">
        <f t="shared" si="0"/>
        <v>119711589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>
        <v>35000</v>
      </c>
      <c r="AX31" s="42"/>
      <c r="AY31" s="42"/>
      <c r="AZ31" s="42"/>
      <c r="BA31" s="42"/>
      <c r="BB31" s="42"/>
      <c r="BC31" s="42"/>
      <c r="BD31" s="42"/>
      <c r="BE31" s="40">
        <f t="shared" si="2"/>
        <v>35000</v>
      </c>
    </row>
    <row r="32" spans="1:57" ht="74.25" customHeight="1" x14ac:dyDescent="0.8">
      <c r="A32" s="14" t="s">
        <v>36</v>
      </c>
      <c r="B32" s="15" t="s">
        <v>71</v>
      </c>
      <c r="C32" s="41"/>
      <c r="D32" s="41">
        <v>52268000</v>
      </c>
      <c r="E32" s="41">
        <f>48078700-6800000</f>
        <v>41278700</v>
      </c>
      <c r="F32" s="41">
        <v>773900</v>
      </c>
      <c r="G32" s="40">
        <v>1845812</v>
      </c>
      <c r="H32" s="40"/>
      <c r="I32" s="40"/>
      <c r="J32" s="40"/>
      <c r="K32" s="40">
        <f t="shared" si="1"/>
        <v>0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2">
        <v>515000</v>
      </c>
      <c r="AC32" s="42"/>
      <c r="AD32" s="42">
        <f>39000+107000</f>
        <v>146000</v>
      </c>
      <c r="AE32" s="42"/>
      <c r="AF32" s="42"/>
      <c r="AG32" s="42"/>
      <c r="AH32" s="42"/>
      <c r="AI32" s="40">
        <f t="shared" si="0"/>
        <v>96827412</v>
      </c>
      <c r="AJ32" s="42"/>
      <c r="AK32" s="42"/>
      <c r="AL32" s="42">
        <f>232676</f>
        <v>232676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>
        <v>34000</v>
      </c>
      <c r="AX32" s="42"/>
      <c r="AY32" s="42"/>
      <c r="AZ32" s="42"/>
      <c r="BA32" s="42"/>
      <c r="BB32" s="42"/>
      <c r="BC32" s="42"/>
      <c r="BD32" s="42"/>
      <c r="BE32" s="40">
        <f t="shared" si="2"/>
        <v>266676</v>
      </c>
    </row>
    <row r="33" spans="1:57" ht="74.25" customHeight="1" x14ac:dyDescent="0.8">
      <c r="A33" s="14" t="s">
        <v>37</v>
      </c>
      <c r="B33" s="15" t="s">
        <v>72</v>
      </c>
      <c r="C33" s="41"/>
      <c r="D33" s="41">
        <v>40545800</v>
      </c>
      <c r="E33" s="41">
        <f>22718800+220000</f>
        <v>22938800</v>
      </c>
      <c r="F33" s="41">
        <v>4937900</v>
      </c>
      <c r="G33" s="40">
        <v>803909</v>
      </c>
      <c r="H33" s="40"/>
      <c r="I33" s="40"/>
      <c r="J33" s="40"/>
      <c r="K33" s="40">
        <f t="shared" si="1"/>
        <v>6500080</v>
      </c>
      <c r="L33" s="40"/>
      <c r="M33" s="40"/>
      <c r="N33" s="40"/>
      <c r="O33" s="40"/>
      <c r="P33" s="40">
        <v>6500080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2">
        <f>600000+15000</f>
        <v>615000</v>
      </c>
      <c r="AC33" s="42"/>
      <c r="AD33" s="42">
        <f>70000+190000</f>
        <v>260000</v>
      </c>
      <c r="AE33" s="42"/>
      <c r="AF33" s="42"/>
      <c r="AG33" s="42"/>
      <c r="AH33" s="42"/>
      <c r="AI33" s="40">
        <f t="shared" si="0"/>
        <v>76601489</v>
      </c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>
        <v>24000</v>
      </c>
      <c r="AX33" s="42"/>
      <c r="AY33" s="42"/>
      <c r="AZ33" s="42"/>
      <c r="BA33" s="42"/>
      <c r="BB33" s="42"/>
      <c r="BC33" s="42"/>
      <c r="BD33" s="42"/>
      <c r="BE33" s="40">
        <f t="shared" si="2"/>
        <v>24000</v>
      </c>
    </row>
    <row r="34" spans="1:57" ht="74.25" customHeight="1" x14ac:dyDescent="0.8">
      <c r="A34" s="14" t="s">
        <v>38</v>
      </c>
      <c r="B34" s="15" t="s">
        <v>73</v>
      </c>
      <c r="C34" s="41"/>
      <c r="D34" s="41">
        <v>59212900</v>
      </c>
      <c r="E34" s="41">
        <f>58811400-11700000</f>
        <v>47111400</v>
      </c>
      <c r="F34" s="41">
        <v>848600</v>
      </c>
      <c r="G34" s="40">
        <v>2170805</v>
      </c>
      <c r="H34" s="40"/>
      <c r="I34" s="40"/>
      <c r="J34" s="40"/>
      <c r="K34" s="40">
        <f t="shared" si="1"/>
        <v>1538456</v>
      </c>
      <c r="L34" s="40"/>
      <c r="M34" s="40"/>
      <c r="N34" s="40"/>
      <c r="O34" s="40">
        <v>1538456</v>
      </c>
      <c r="P34" s="40"/>
      <c r="Q34" s="40"/>
      <c r="R34" s="40">
        <v>328944</v>
      </c>
      <c r="S34" s="40"/>
      <c r="T34" s="40"/>
      <c r="U34" s="40"/>
      <c r="V34" s="40"/>
      <c r="W34" s="40"/>
      <c r="X34" s="40"/>
      <c r="Y34" s="40"/>
      <c r="Z34" s="40"/>
      <c r="AA34" s="40"/>
      <c r="AB34" s="42">
        <v>970000</v>
      </c>
      <c r="AC34" s="42"/>
      <c r="AD34" s="42">
        <f>130000+69000</f>
        <v>199000</v>
      </c>
      <c r="AE34" s="42"/>
      <c r="AF34" s="42"/>
      <c r="AG34" s="42"/>
      <c r="AH34" s="42"/>
      <c r="AI34" s="40">
        <f t="shared" si="0"/>
        <v>112380105</v>
      </c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>
        <v>41000</v>
      </c>
      <c r="AX34" s="42"/>
      <c r="AY34" s="42"/>
      <c r="AZ34" s="42"/>
      <c r="BA34" s="42"/>
      <c r="BB34" s="42"/>
      <c r="BC34" s="42"/>
      <c r="BD34" s="42"/>
      <c r="BE34" s="40">
        <f t="shared" si="2"/>
        <v>41000</v>
      </c>
    </row>
    <row r="35" spans="1:57" ht="74.25" customHeight="1" x14ac:dyDescent="0.8">
      <c r="A35" s="14" t="s">
        <v>39</v>
      </c>
      <c r="B35" s="15" t="s">
        <v>74</v>
      </c>
      <c r="C35" s="41"/>
      <c r="D35" s="41">
        <v>89209100</v>
      </c>
      <c r="E35" s="41">
        <f>72096300-8900000</f>
        <v>63196300</v>
      </c>
      <c r="F35" s="41">
        <v>979200</v>
      </c>
      <c r="G35" s="40">
        <v>2594555</v>
      </c>
      <c r="H35" s="40"/>
      <c r="I35" s="40"/>
      <c r="J35" s="40"/>
      <c r="K35" s="40">
        <f t="shared" si="1"/>
        <v>192307</v>
      </c>
      <c r="L35" s="40"/>
      <c r="M35" s="40"/>
      <c r="N35" s="40"/>
      <c r="O35" s="40">
        <v>192307</v>
      </c>
      <c r="P35" s="40"/>
      <c r="Q35" s="40"/>
      <c r="R35" s="40">
        <v>23496</v>
      </c>
      <c r="S35" s="40"/>
      <c r="T35" s="40"/>
      <c r="U35" s="40"/>
      <c r="V35" s="40"/>
      <c r="W35" s="40"/>
      <c r="X35" s="40"/>
      <c r="Y35" s="40"/>
      <c r="Z35" s="40"/>
      <c r="AA35" s="40"/>
      <c r="AB35" s="42">
        <v>2012000</v>
      </c>
      <c r="AC35" s="42"/>
      <c r="AD35" s="42">
        <f>78000+199000</f>
        <v>277000</v>
      </c>
      <c r="AE35" s="42"/>
      <c r="AF35" s="42"/>
      <c r="AG35" s="42">
        <v>600000</v>
      </c>
      <c r="AH35" s="42"/>
      <c r="AI35" s="40">
        <f t="shared" si="0"/>
        <v>159083958</v>
      </c>
      <c r="AJ35" s="42"/>
      <c r="AK35" s="42"/>
      <c r="AL35" s="42"/>
      <c r="AM35" s="42">
        <v>7000000</v>
      </c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0">
        <f t="shared" si="2"/>
        <v>7000000</v>
      </c>
    </row>
    <row r="36" spans="1:57" ht="74.25" customHeight="1" x14ac:dyDescent="0.8">
      <c r="A36" s="14" t="s">
        <v>40</v>
      </c>
      <c r="B36" s="15" t="s">
        <v>75</v>
      </c>
      <c r="C36" s="41"/>
      <c r="D36" s="41">
        <v>37022200</v>
      </c>
      <c r="E36" s="41">
        <f>32244500-9620000</f>
        <v>22624500</v>
      </c>
      <c r="F36" s="41">
        <v>2299000</v>
      </c>
      <c r="G36" s="40">
        <v>741127</v>
      </c>
      <c r="H36" s="40"/>
      <c r="I36" s="40"/>
      <c r="J36" s="40"/>
      <c r="K36" s="40">
        <f t="shared" si="1"/>
        <v>192307</v>
      </c>
      <c r="L36" s="40"/>
      <c r="M36" s="40"/>
      <c r="N36" s="40"/>
      <c r="O36" s="40">
        <v>192307</v>
      </c>
      <c r="P36" s="40"/>
      <c r="Q36" s="40"/>
      <c r="R36" s="40">
        <v>23496</v>
      </c>
      <c r="S36" s="40"/>
      <c r="T36" s="40"/>
      <c r="U36" s="40"/>
      <c r="V36" s="40"/>
      <c r="W36" s="40"/>
      <c r="X36" s="40"/>
      <c r="Y36" s="40"/>
      <c r="Z36" s="40"/>
      <c r="AA36" s="40"/>
      <c r="AB36" s="42">
        <f>525000+10000</f>
        <v>535000</v>
      </c>
      <c r="AC36" s="42"/>
      <c r="AD36" s="42">
        <f>100000+180000</f>
        <v>280000</v>
      </c>
      <c r="AE36" s="42">
        <f>800000</f>
        <v>800000</v>
      </c>
      <c r="AF36" s="42">
        <f>94102.8</f>
        <v>94102.8</v>
      </c>
      <c r="AG36" s="42"/>
      <c r="AH36" s="42"/>
      <c r="AI36" s="40">
        <f t="shared" si="0"/>
        <v>64611732.799999997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>
        <v>13000</v>
      </c>
      <c r="AX36" s="42"/>
      <c r="AY36" s="42"/>
      <c r="AZ36" s="42"/>
      <c r="BA36" s="42"/>
      <c r="BB36" s="42"/>
      <c r="BC36" s="42"/>
      <c r="BD36" s="42"/>
      <c r="BE36" s="40">
        <f t="shared" si="2"/>
        <v>13000</v>
      </c>
    </row>
    <row r="37" spans="1:57" ht="74.25" customHeight="1" x14ac:dyDescent="0.8">
      <c r="A37" s="14" t="s">
        <v>41</v>
      </c>
      <c r="B37" s="15" t="s">
        <v>76</v>
      </c>
      <c r="C37" s="41"/>
      <c r="D37" s="41">
        <v>32547700</v>
      </c>
      <c r="E37" s="41">
        <f>29502800-2240000</f>
        <v>27262800</v>
      </c>
      <c r="F37" s="41">
        <v>1085200</v>
      </c>
      <c r="G37" s="40">
        <v>1408971</v>
      </c>
      <c r="H37" s="40"/>
      <c r="I37" s="40"/>
      <c r="J37" s="40"/>
      <c r="K37" s="40">
        <f t="shared" si="1"/>
        <v>6884694</v>
      </c>
      <c r="L37" s="40"/>
      <c r="M37" s="40"/>
      <c r="N37" s="40"/>
      <c r="O37" s="40">
        <v>384614</v>
      </c>
      <c r="P37" s="40">
        <v>6500080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2">
        <f>550000-70000</f>
        <v>480000</v>
      </c>
      <c r="AC37" s="42"/>
      <c r="AD37" s="42">
        <f>80000+90000</f>
        <v>170000</v>
      </c>
      <c r="AE37" s="42"/>
      <c r="AF37" s="42"/>
      <c r="AG37" s="42"/>
      <c r="AH37" s="42"/>
      <c r="AI37" s="40">
        <f t="shared" si="0"/>
        <v>69839365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>
        <v>3000000</v>
      </c>
      <c r="BE37" s="40">
        <f t="shared" si="2"/>
        <v>3000000</v>
      </c>
    </row>
    <row r="38" spans="1:57" ht="74.25" customHeight="1" x14ac:dyDescent="0.8">
      <c r="A38" s="14" t="s">
        <v>42</v>
      </c>
      <c r="B38" s="15" t="s">
        <v>77</v>
      </c>
      <c r="C38" s="41"/>
      <c r="D38" s="41">
        <v>36317600</v>
      </c>
      <c r="E38" s="41">
        <f>21033500-2450000</f>
        <v>18583500</v>
      </c>
      <c r="F38" s="41">
        <v>3188200</v>
      </c>
      <c r="G38" s="40">
        <v>1403589</v>
      </c>
      <c r="H38" s="40"/>
      <c r="I38" s="40"/>
      <c r="J38" s="40"/>
      <c r="K38" s="40">
        <f t="shared" si="1"/>
        <v>384614</v>
      </c>
      <c r="L38" s="40"/>
      <c r="M38" s="40"/>
      <c r="N38" s="40"/>
      <c r="O38" s="40">
        <v>384614</v>
      </c>
      <c r="P38" s="40"/>
      <c r="Q38" s="40"/>
      <c r="R38" s="40">
        <v>70488</v>
      </c>
      <c r="S38" s="40"/>
      <c r="T38" s="40"/>
      <c r="U38" s="40"/>
      <c r="V38" s="40"/>
      <c r="W38" s="40"/>
      <c r="X38" s="40"/>
      <c r="Y38" s="40"/>
      <c r="Z38" s="40"/>
      <c r="AA38" s="40"/>
      <c r="AB38" s="42">
        <f>275000-10000</f>
        <v>265000</v>
      </c>
      <c r="AC38" s="42"/>
      <c r="AD38" s="42">
        <f>80000+80000</f>
        <v>160000</v>
      </c>
      <c r="AE38" s="42"/>
      <c r="AF38" s="42"/>
      <c r="AG38" s="42"/>
      <c r="AH38" s="42"/>
      <c r="AI38" s="40">
        <f t="shared" si="0"/>
        <v>60372991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>
        <v>26000</v>
      </c>
      <c r="AX38" s="42"/>
      <c r="AY38" s="42"/>
      <c r="AZ38" s="42"/>
      <c r="BA38" s="42"/>
      <c r="BB38" s="42"/>
      <c r="BC38" s="42"/>
      <c r="BD38" s="42"/>
      <c r="BE38" s="40">
        <f t="shared" si="2"/>
        <v>26000</v>
      </c>
    </row>
    <row r="39" spans="1:57" ht="74.25" customHeight="1" x14ac:dyDescent="0.8">
      <c r="A39" s="14" t="s">
        <v>43</v>
      </c>
      <c r="B39" s="15" t="s">
        <v>78</v>
      </c>
      <c r="C39" s="41"/>
      <c r="D39" s="41">
        <v>45851600</v>
      </c>
      <c r="E39" s="41">
        <f>56332500-6750000</f>
        <v>49582500</v>
      </c>
      <c r="F39" s="41">
        <v>779200</v>
      </c>
      <c r="G39" s="40">
        <v>2032331</v>
      </c>
      <c r="H39" s="40"/>
      <c r="I39" s="40"/>
      <c r="J39" s="40"/>
      <c r="K39" s="40">
        <f t="shared" si="1"/>
        <v>576921</v>
      </c>
      <c r="L39" s="40"/>
      <c r="M39" s="40"/>
      <c r="N39" s="40"/>
      <c r="O39" s="40">
        <v>576921</v>
      </c>
      <c r="P39" s="40"/>
      <c r="Q39" s="40"/>
      <c r="R39" s="40">
        <v>258456</v>
      </c>
      <c r="S39" s="40"/>
      <c r="T39" s="40"/>
      <c r="U39" s="40"/>
      <c r="V39" s="40"/>
      <c r="W39" s="40"/>
      <c r="X39" s="40"/>
      <c r="Y39" s="40"/>
      <c r="Z39" s="40"/>
      <c r="AA39" s="40">
        <f>700000</f>
        <v>700000</v>
      </c>
      <c r="AB39" s="42">
        <f>600000-80000</f>
        <v>520000</v>
      </c>
      <c r="AC39" s="42"/>
      <c r="AD39" s="42">
        <f>100000+90000</f>
        <v>190000</v>
      </c>
      <c r="AE39" s="42"/>
      <c r="AF39" s="42">
        <v>131300</v>
      </c>
      <c r="AG39" s="42">
        <v>700000</v>
      </c>
      <c r="AH39" s="42"/>
      <c r="AI39" s="40">
        <f t="shared" si="0"/>
        <v>101322308</v>
      </c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0">
        <f t="shared" si="2"/>
        <v>0</v>
      </c>
    </row>
    <row r="40" spans="1:57" ht="74.25" customHeight="1" x14ac:dyDescent="0.8">
      <c r="A40" s="14" t="s">
        <v>44</v>
      </c>
      <c r="B40" s="15" t="s">
        <v>79</v>
      </c>
      <c r="C40" s="41"/>
      <c r="D40" s="41">
        <v>82314500</v>
      </c>
      <c r="E40" s="41">
        <f>59212000-13550000</f>
        <v>45662000</v>
      </c>
      <c r="F40" s="41">
        <v>2271700</v>
      </c>
      <c r="G40" s="40">
        <v>7711923</v>
      </c>
      <c r="H40" s="40"/>
      <c r="I40" s="40"/>
      <c r="J40" s="40"/>
      <c r="K40" s="40">
        <f t="shared" si="1"/>
        <v>0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2">
        <f>400000+15000</f>
        <v>415000</v>
      </c>
      <c r="AC40" s="42"/>
      <c r="AD40" s="42">
        <f>80000+120000</f>
        <v>200000</v>
      </c>
      <c r="AE40" s="42">
        <f>400000</f>
        <v>400000</v>
      </c>
      <c r="AF40" s="42"/>
      <c r="AG40" s="42"/>
      <c r="AH40" s="42"/>
      <c r="AI40" s="40">
        <f t="shared" si="0"/>
        <v>138975123</v>
      </c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0">
        <f t="shared" si="2"/>
        <v>0</v>
      </c>
    </row>
    <row r="41" spans="1:57" ht="74.25" customHeight="1" x14ac:dyDescent="0.8">
      <c r="A41" s="14" t="s">
        <v>45</v>
      </c>
      <c r="B41" s="15" t="s">
        <v>80</v>
      </c>
      <c r="C41" s="41"/>
      <c r="D41" s="41">
        <v>57347800</v>
      </c>
      <c r="E41" s="41">
        <f>42561300-3420000</f>
        <v>39141300</v>
      </c>
      <c r="F41" s="41">
        <v>717300</v>
      </c>
      <c r="G41" s="40">
        <v>1558885</v>
      </c>
      <c r="H41" s="40"/>
      <c r="I41" s="40"/>
      <c r="J41" s="40"/>
      <c r="K41" s="40">
        <f t="shared" si="1"/>
        <v>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>
        <v>300000</v>
      </c>
      <c r="AB41" s="42">
        <f>2050000+5000</f>
        <v>2055000</v>
      </c>
      <c r="AC41" s="42"/>
      <c r="AD41" s="42">
        <f>135000+60000</f>
        <v>195000</v>
      </c>
      <c r="AE41" s="42"/>
      <c r="AF41" s="42"/>
      <c r="AG41" s="42"/>
      <c r="AH41" s="42"/>
      <c r="AI41" s="40">
        <f t="shared" si="0"/>
        <v>101315285</v>
      </c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0">
        <f t="shared" si="2"/>
        <v>0</v>
      </c>
    </row>
    <row r="42" spans="1:57" ht="74.25" customHeight="1" x14ac:dyDescent="0.8">
      <c r="A42" s="14" t="s">
        <v>46</v>
      </c>
      <c r="B42" s="15" t="s">
        <v>81</v>
      </c>
      <c r="C42" s="41"/>
      <c r="D42" s="41">
        <v>65509100</v>
      </c>
      <c r="E42" s="41">
        <f>45608000-9450000</f>
        <v>36158000</v>
      </c>
      <c r="F42" s="41">
        <v>994900</v>
      </c>
      <c r="G42" s="40">
        <v>1721491</v>
      </c>
      <c r="H42" s="40"/>
      <c r="I42" s="40"/>
      <c r="J42" s="40"/>
      <c r="K42" s="40">
        <f t="shared" si="1"/>
        <v>1302907</v>
      </c>
      <c r="L42" s="40"/>
      <c r="M42" s="40">
        <v>1110600</v>
      </c>
      <c r="N42" s="40"/>
      <c r="O42" s="40">
        <v>192307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>
        <f>500000</f>
        <v>500000</v>
      </c>
      <c r="AB42" s="42">
        <f>990000+20000-30000</f>
        <v>980000</v>
      </c>
      <c r="AC42" s="42"/>
      <c r="AD42" s="42">
        <f>98000+100000</f>
        <v>198000</v>
      </c>
      <c r="AE42" s="42"/>
      <c r="AF42" s="42">
        <v>470000</v>
      </c>
      <c r="AG42" s="42"/>
      <c r="AH42" s="42"/>
      <c r="AI42" s="40">
        <f t="shared" si="0"/>
        <v>107834398</v>
      </c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0">
        <f t="shared" si="2"/>
        <v>0</v>
      </c>
    </row>
    <row r="43" spans="1:57" ht="74.25" customHeight="1" x14ac:dyDescent="0.8">
      <c r="A43" s="14" t="s">
        <v>47</v>
      </c>
      <c r="B43" s="15" t="s">
        <v>82</v>
      </c>
      <c r="C43" s="41"/>
      <c r="D43" s="41">
        <v>40513000</v>
      </c>
      <c r="E43" s="41">
        <f>32370900-600000</f>
        <v>31770900</v>
      </c>
      <c r="F43" s="41">
        <v>1324400</v>
      </c>
      <c r="G43" s="40">
        <v>2015850</v>
      </c>
      <c r="H43" s="40"/>
      <c r="I43" s="40"/>
      <c r="J43" s="40"/>
      <c r="K43" s="40">
        <f t="shared" si="1"/>
        <v>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2">
        <f>690000-125000-5000-150000</f>
        <v>410000</v>
      </c>
      <c r="AC43" s="42"/>
      <c r="AD43" s="42">
        <f>130000+95000</f>
        <v>225000</v>
      </c>
      <c r="AE43" s="42">
        <v>600000</v>
      </c>
      <c r="AF43" s="42"/>
      <c r="AG43" s="42"/>
      <c r="AH43" s="42"/>
      <c r="AI43" s="40">
        <f t="shared" si="0"/>
        <v>76859150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>
        <v>21000</v>
      </c>
      <c r="AX43" s="42"/>
      <c r="AY43" s="42"/>
      <c r="AZ43" s="42"/>
      <c r="BA43" s="42"/>
      <c r="BB43" s="42"/>
      <c r="BC43" s="42"/>
      <c r="BD43" s="42"/>
      <c r="BE43" s="40">
        <f t="shared" si="2"/>
        <v>21000</v>
      </c>
    </row>
    <row r="44" spans="1:57" ht="70.5" customHeight="1" x14ac:dyDescent="0.8">
      <c r="A44" s="14" t="s">
        <v>48</v>
      </c>
      <c r="B44" s="15" t="s">
        <v>83</v>
      </c>
      <c r="C44" s="41"/>
      <c r="D44" s="41">
        <v>52035900</v>
      </c>
      <c r="E44" s="41">
        <f>51583700-11100000</f>
        <v>40483700</v>
      </c>
      <c r="F44" s="41">
        <v>1272800</v>
      </c>
      <c r="G44" s="40">
        <v>4257368</v>
      </c>
      <c r="H44" s="40"/>
      <c r="I44" s="40"/>
      <c r="J44" s="40"/>
      <c r="K44" s="40">
        <f t="shared" si="1"/>
        <v>384614</v>
      </c>
      <c r="L44" s="40"/>
      <c r="M44" s="40"/>
      <c r="N44" s="40"/>
      <c r="O44" s="40">
        <v>384614</v>
      </c>
      <c r="P44" s="40"/>
      <c r="Q44" s="40"/>
      <c r="R44" s="40">
        <v>46992</v>
      </c>
      <c r="S44" s="40"/>
      <c r="T44" s="40"/>
      <c r="U44" s="40"/>
      <c r="V44" s="40"/>
      <c r="W44" s="40"/>
      <c r="X44" s="40"/>
      <c r="Y44" s="40"/>
      <c r="Z44" s="40"/>
      <c r="AA44" s="40"/>
      <c r="AB44" s="42">
        <f>450000-108100</f>
        <v>341900</v>
      </c>
      <c r="AC44" s="42"/>
      <c r="AD44" s="42">
        <f>50000+90000</f>
        <v>140000</v>
      </c>
      <c r="AE44" s="42"/>
      <c r="AF44" s="42"/>
      <c r="AG44" s="42"/>
      <c r="AH44" s="42"/>
      <c r="AI44" s="40">
        <f t="shared" ref="AI44:AI75" si="6">SUM(C44:AH44)-I44-J44-L44-M44-N44-O44-P44-Q44</f>
        <v>98963274</v>
      </c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0">
        <f t="shared" si="2"/>
        <v>0</v>
      </c>
    </row>
    <row r="45" spans="1:57" ht="74.25" customHeight="1" x14ac:dyDescent="0.8">
      <c r="A45" s="14" t="s">
        <v>49</v>
      </c>
      <c r="B45" s="15" t="s">
        <v>84</v>
      </c>
      <c r="C45" s="41"/>
      <c r="D45" s="41">
        <v>40455200</v>
      </c>
      <c r="E45" s="41">
        <f>50240700-13000000</f>
        <v>37240700</v>
      </c>
      <c r="F45" s="41">
        <v>879600</v>
      </c>
      <c r="G45" s="40">
        <v>1555522</v>
      </c>
      <c r="H45" s="40">
        <v>200</v>
      </c>
      <c r="I45" s="40"/>
      <c r="J45" s="40">
        <v>200</v>
      </c>
      <c r="K45" s="40">
        <f t="shared" si="1"/>
        <v>384614</v>
      </c>
      <c r="L45" s="40"/>
      <c r="M45" s="40"/>
      <c r="N45" s="40"/>
      <c r="O45" s="40">
        <v>384614</v>
      </c>
      <c r="P45" s="40"/>
      <c r="Q45" s="40"/>
      <c r="R45" s="40">
        <v>23496</v>
      </c>
      <c r="S45" s="40"/>
      <c r="T45" s="40"/>
      <c r="U45" s="40"/>
      <c r="V45" s="40"/>
      <c r="W45" s="40"/>
      <c r="X45" s="40"/>
      <c r="Y45" s="40"/>
      <c r="Z45" s="40"/>
      <c r="AA45" s="40"/>
      <c r="AB45" s="42">
        <f>520000-110000</f>
        <v>410000</v>
      </c>
      <c r="AC45" s="42"/>
      <c r="AD45" s="42">
        <f>60000+35000+160000</f>
        <v>255000</v>
      </c>
      <c r="AE45" s="42"/>
      <c r="AF45" s="42"/>
      <c r="AG45" s="42"/>
      <c r="AH45" s="42"/>
      <c r="AI45" s="40">
        <f t="shared" si="6"/>
        <v>81204332</v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>
        <v>10000</v>
      </c>
      <c r="AX45" s="42"/>
      <c r="AY45" s="42"/>
      <c r="AZ45" s="42"/>
      <c r="BA45" s="42"/>
      <c r="BB45" s="42"/>
      <c r="BC45" s="42"/>
      <c r="BD45" s="42"/>
      <c r="BE45" s="40">
        <f t="shared" si="2"/>
        <v>10000</v>
      </c>
    </row>
    <row r="46" spans="1:57" ht="74.25" customHeight="1" x14ac:dyDescent="0.8">
      <c r="A46" s="14" t="s">
        <v>50</v>
      </c>
      <c r="B46" s="15" t="s">
        <v>85</v>
      </c>
      <c r="C46" s="41"/>
      <c r="D46" s="41">
        <v>39992400</v>
      </c>
      <c r="E46" s="41">
        <f>44658800-10700000</f>
        <v>33958800</v>
      </c>
      <c r="F46" s="41">
        <v>1104700</v>
      </c>
      <c r="G46" s="40">
        <v>1598108</v>
      </c>
      <c r="H46" s="40"/>
      <c r="I46" s="40"/>
      <c r="J46" s="40"/>
      <c r="K46" s="40">
        <f t="shared" si="1"/>
        <v>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2">
        <f>1385000-250000-30000</f>
        <v>1105000</v>
      </c>
      <c r="AC46" s="42"/>
      <c r="AD46" s="42">
        <f>45000+45000</f>
        <v>90000</v>
      </c>
      <c r="AE46" s="42"/>
      <c r="AF46" s="42"/>
      <c r="AG46" s="42"/>
      <c r="AH46" s="42"/>
      <c r="AI46" s="40">
        <f t="shared" si="6"/>
        <v>77849008</v>
      </c>
      <c r="AJ46" s="42"/>
      <c r="AK46" s="42"/>
      <c r="AL46" s="42"/>
      <c r="AM46" s="42">
        <v>132000</v>
      </c>
      <c r="AN46" s="42"/>
      <c r="AO46" s="42"/>
      <c r="AP46" s="42"/>
      <c r="AQ46" s="42"/>
      <c r="AR46" s="42"/>
      <c r="AS46" s="42"/>
      <c r="AT46" s="42"/>
      <c r="AU46" s="42"/>
      <c r="AV46" s="42"/>
      <c r="AW46" s="42">
        <v>27000</v>
      </c>
      <c r="AX46" s="42"/>
      <c r="AY46" s="42"/>
      <c r="AZ46" s="42"/>
      <c r="BA46" s="42"/>
      <c r="BB46" s="42"/>
      <c r="BC46" s="42"/>
      <c r="BD46" s="42"/>
      <c r="BE46" s="40">
        <f t="shared" si="2"/>
        <v>159000</v>
      </c>
    </row>
    <row r="47" spans="1:57" ht="74.25" customHeight="1" x14ac:dyDescent="0.8">
      <c r="A47" s="14" t="s">
        <v>51</v>
      </c>
      <c r="B47" s="15" t="s">
        <v>86</v>
      </c>
      <c r="C47" s="41"/>
      <c r="D47" s="41">
        <v>19136700</v>
      </c>
      <c r="E47" s="41">
        <f>18305500-4440000</f>
        <v>13865500</v>
      </c>
      <c r="F47" s="41">
        <v>1496300</v>
      </c>
      <c r="G47" s="40">
        <v>2078357</v>
      </c>
      <c r="H47" s="40"/>
      <c r="I47" s="40"/>
      <c r="J47" s="40"/>
      <c r="K47" s="40">
        <f t="shared" si="1"/>
        <v>7208080</v>
      </c>
      <c r="L47" s="40"/>
      <c r="M47" s="40"/>
      <c r="N47" s="40">
        <v>708000</v>
      </c>
      <c r="O47" s="40"/>
      <c r="P47" s="40">
        <v>6500080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2">
        <f>525000-10000</f>
        <v>515000</v>
      </c>
      <c r="AC47" s="42"/>
      <c r="AD47" s="42">
        <f>22000+35000+60000</f>
        <v>117000</v>
      </c>
      <c r="AE47" s="42"/>
      <c r="AF47" s="42">
        <f>450000</f>
        <v>450000</v>
      </c>
      <c r="AG47" s="42"/>
      <c r="AH47" s="42"/>
      <c r="AI47" s="40">
        <f t="shared" si="6"/>
        <v>44866937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0">
        <f t="shared" si="2"/>
        <v>0</v>
      </c>
    </row>
    <row r="48" spans="1:57" ht="74.25" customHeight="1" x14ac:dyDescent="0.8">
      <c r="A48" s="14"/>
      <c r="B48" s="15" t="s">
        <v>56</v>
      </c>
      <c r="C48" s="40">
        <f t="shared" ref="C48:J48" si="7">C47+C46+C45+C44+C43+C42+C41+C40+C39+C38+C37+C36+C35+C34+C33+C32+C31+C30+C29+C28+C27+C26</f>
        <v>0</v>
      </c>
      <c r="D48" s="40">
        <f t="shared" si="7"/>
        <v>1249737800</v>
      </c>
      <c r="E48" s="40">
        <f t="shared" si="7"/>
        <v>872019400</v>
      </c>
      <c r="F48" s="40">
        <f t="shared" si="7"/>
        <v>36407400</v>
      </c>
      <c r="G48" s="40">
        <f t="shared" si="7"/>
        <v>56378876</v>
      </c>
      <c r="H48" s="40">
        <f t="shared" si="7"/>
        <v>200</v>
      </c>
      <c r="I48" s="40">
        <f t="shared" si="7"/>
        <v>0</v>
      </c>
      <c r="J48" s="40">
        <f t="shared" si="7"/>
        <v>200</v>
      </c>
      <c r="K48" s="40">
        <f t="shared" ref="K48:R48" si="8">K47+K46+K45+K44+K43+K42+K41+K40+K39+K38+K37+K36+K35+K34+K33+K32+K31+K30+K29+K28+K27+K26</f>
        <v>37483588</v>
      </c>
      <c r="L48" s="40">
        <f t="shared" si="8"/>
        <v>0</v>
      </c>
      <c r="M48" s="40">
        <f t="shared" si="8"/>
        <v>1110600</v>
      </c>
      <c r="N48" s="40">
        <f t="shared" si="8"/>
        <v>4603458</v>
      </c>
      <c r="O48" s="40">
        <f t="shared" si="8"/>
        <v>5769210</v>
      </c>
      <c r="P48" s="40">
        <f t="shared" si="8"/>
        <v>26000320</v>
      </c>
      <c r="Q48" s="40">
        <f t="shared" si="8"/>
        <v>0</v>
      </c>
      <c r="R48" s="40">
        <f t="shared" si="8"/>
        <v>869352</v>
      </c>
      <c r="S48" s="40">
        <f t="shared" ref="S48:Z48" si="9">S47+S46+S45+S44+S43+S42+S41+S40+S39+S38+S37+S36+S35+S34+S33+S32+S31+S30+S29+S28+S27+S26</f>
        <v>0</v>
      </c>
      <c r="T48" s="40">
        <f t="shared" si="9"/>
        <v>0</v>
      </c>
      <c r="U48" s="40">
        <f t="shared" si="9"/>
        <v>0</v>
      </c>
      <c r="V48" s="40">
        <f t="shared" si="9"/>
        <v>0</v>
      </c>
      <c r="W48" s="40">
        <f t="shared" si="9"/>
        <v>0</v>
      </c>
      <c r="X48" s="40">
        <f t="shared" si="9"/>
        <v>0</v>
      </c>
      <c r="Y48" s="40">
        <f t="shared" si="9"/>
        <v>0</v>
      </c>
      <c r="Z48" s="40">
        <f t="shared" si="9"/>
        <v>0</v>
      </c>
      <c r="AA48" s="40">
        <f t="shared" ref="AA48:AG48" si="10">AA47+AA46+AA45+AA44+AA43+AA42+AA41+AA40+AA39+AA38+AA37+AA36+AA35+AA34+AA33+AA32+AA31+AA30+AA29+AA28+AA27+AA26</f>
        <v>1500000</v>
      </c>
      <c r="AB48" s="40">
        <f t="shared" si="10"/>
        <v>17030900</v>
      </c>
      <c r="AC48" s="40">
        <f t="shared" si="10"/>
        <v>0</v>
      </c>
      <c r="AD48" s="40">
        <f t="shared" si="10"/>
        <v>4116000</v>
      </c>
      <c r="AE48" s="40">
        <f t="shared" si="10"/>
        <v>3300000</v>
      </c>
      <c r="AF48" s="40">
        <f t="shared" si="10"/>
        <v>1145402.8</v>
      </c>
      <c r="AG48" s="40">
        <f t="shared" si="10"/>
        <v>1900000</v>
      </c>
      <c r="AH48" s="40">
        <f>AH47+AH46+AH45+AH44+AH43+AH42+AH41+AH40+AH39+AH38+AH37+AH36+AH35+AH34+AH33+AH32+AH31+AH30+AH29+AH28+AH27+AH26</f>
        <v>0</v>
      </c>
      <c r="AI48" s="40">
        <f t="shared" si="6"/>
        <v>2281888918.8000002</v>
      </c>
      <c r="AJ48" s="40">
        <f>AJ47+AJ46+AJ45+AJ44+AJ43+AJ42+AJ41+AJ40+AJ39+AJ38+AJ37+AJ36+AJ35+AJ34+AJ33+AJ32+AJ31+AJ30+AJ29+AJ28+AJ27+AJ26</f>
        <v>0</v>
      </c>
      <c r="AK48" s="40">
        <f t="shared" ref="AK48:BB48" si="11">AK47+AK46+AK45+AK44+AK43+AK42+AK41+AK40+AK39+AK38+AK37+AK36+AK35+AK34+AK33+AK32+AK31+AK30+AK29+AK28+AK27+AK26</f>
        <v>0</v>
      </c>
      <c r="AL48" s="40">
        <f t="shared" si="11"/>
        <v>232676</v>
      </c>
      <c r="AM48" s="40">
        <f t="shared" si="11"/>
        <v>25551000</v>
      </c>
      <c r="AN48" s="40">
        <f t="shared" si="11"/>
        <v>0</v>
      </c>
      <c r="AO48" s="40">
        <f t="shared" si="11"/>
        <v>0</v>
      </c>
      <c r="AP48" s="40">
        <f t="shared" si="11"/>
        <v>0</v>
      </c>
      <c r="AQ48" s="40">
        <f t="shared" si="11"/>
        <v>0</v>
      </c>
      <c r="AR48" s="40">
        <f t="shared" si="11"/>
        <v>0</v>
      </c>
      <c r="AS48" s="40">
        <f t="shared" si="11"/>
        <v>0</v>
      </c>
      <c r="AT48" s="40">
        <f t="shared" si="11"/>
        <v>0</v>
      </c>
      <c r="AU48" s="40">
        <f t="shared" si="11"/>
        <v>0</v>
      </c>
      <c r="AV48" s="40">
        <f t="shared" si="11"/>
        <v>0</v>
      </c>
      <c r="AW48" s="40">
        <f t="shared" si="11"/>
        <v>330000</v>
      </c>
      <c r="AX48" s="40">
        <f t="shared" si="11"/>
        <v>0</v>
      </c>
      <c r="AY48" s="40">
        <f t="shared" si="11"/>
        <v>0</v>
      </c>
      <c r="AZ48" s="40">
        <f t="shared" si="11"/>
        <v>0</v>
      </c>
      <c r="BA48" s="40">
        <f t="shared" si="11"/>
        <v>50000</v>
      </c>
      <c r="BB48" s="40">
        <f t="shared" si="11"/>
        <v>0</v>
      </c>
      <c r="BC48" s="40">
        <f>BC47+BC46+BC45+BC44+BC43+BC42+BC41+BC40+BC39+BC38+BC37+BC36+BC35+BC34+BC33+BC32+BC31+BC30+BC29+BC28+BC27+BC26</f>
        <v>0</v>
      </c>
      <c r="BD48" s="40">
        <f>BD47+BD46+BD45+BD44+BD43+BD42+BD41+BD40+BD39+BD38+BD37+BD36+BD35+BD34+BD33+BD32+BD31+BD30+BD29+BD28+BD27+BD26</f>
        <v>3000000</v>
      </c>
      <c r="BE48" s="40">
        <f t="shared" si="2"/>
        <v>29163676</v>
      </c>
    </row>
    <row r="49" spans="1:57" ht="78" customHeight="1" x14ac:dyDescent="0.8">
      <c r="A49" s="14"/>
      <c r="B49" s="15" t="s">
        <v>93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8"/>
      <c r="AB49" s="40"/>
      <c r="AC49" s="40"/>
      <c r="AD49" s="40"/>
      <c r="AE49" s="40"/>
      <c r="AF49" s="40"/>
      <c r="AG49" s="40"/>
      <c r="AH49" s="40"/>
      <c r="AI49" s="40">
        <f t="shared" si="6"/>
        <v>0</v>
      </c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f t="shared" si="2"/>
        <v>0</v>
      </c>
    </row>
    <row r="50" spans="1:57" ht="74.25" customHeight="1" x14ac:dyDescent="0.8">
      <c r="A50" s="14" t="s">
        <v>104</v>
      </c>
      <c r="B50" s="15" t="s">
        <v>95</v>
      </c>
      <c r="C50" s="40"/>
      <c r="D50" s="40"/>
      <c r="E50" s="40"/>
      <c r="F50" s="40"/>
      <c r="G50" s="40"/>
      <c r="H50" s="40"/>
      <c r="I50" s="40"/>
      <c r="J50" s="40"/>
      <c r="K50" s="40">
        <f t="shared" ref="K50:K88" si="12">L50+M50+N50+O50+P50+Q50</f>
        <v>3160075</v>
      </c>
      <c r="L50" s="40"/>
      <c r="M50" s="40"/>
      <c r="N50" s="40"/>
      <c r="O50" s="40">
        <v>384614</v>
      </c>
      <c r="P50" s="40"/>
      <c r="Q50" s="40">
        <v>2775461</v>
      </c>
      <c r="R50" s="40">
        <v>70488</v>
      </c>
      <c r="S50" s="40"/>
      <c r="T50" s="40"/>
      <c r="U50" s="40"/>
      <c r="V50" s="40"/>
      <c r="W50" s="40"/>
      <c r="X50" s="40"/>
      <c r="Y50" s="40"/>
      <c r="Z50" s="40"/>
      <c r="AA50" s="48"/>
      <c r="AB50" s="40">
        <v>110000</v>
      </c>
      <c r="AC50" s="40"/>
      <c r="AD50" s="40"/>
      <c r="AE50" s="40"/>
      <c r="AF50" s="40"/>
      <c r="AG50" s="40">
        <v>600000</v>
      </c>
      <c r="AH50" s="40"/>
      <c r="AI50" s="40">
        <f t="shared" si="6"/>
        <v>3940563</v>
      </c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f t="shared" si="2"/>
        <v>0</v>
      </c>
    </row>
    <row r="51" spans="1:57" ht="74.25" customHeight="1" x14ac:dyDescent="0.8">
      <c r="A51" s="14" t="s">
        <v>52</v>
      </c>
      <c r="B51" s="15" t="s">
        <v>88</v>
      </c>
      <c r="C51" s="41"/>
      <c r="D51" s="41"/>
      <c r="E51" s="41"/>
      <c r="F51" s="41"/>
      <c r="G51" s="40"/>
      <c r="H51" s="40"/>
      <c r="I51" s="40"/>
      <c r="J51" s="40"/>
      <c r="K51" s="40">
        <f t="shared" si="12"/>
        <v>558150</v>
      </c>
      <c r="L51" s="40"/>
      <c r="M51" s="40"/>
      <c r="N51" s="40"/>
      <c r="O51" s="40"/>
      <c r="P51" s="40"/>
      <c r="Q51" s="40">
        <v>558150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>
        <f t="shared" si="6"/>
        <v>558150</v>
      </c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>
        <f t="shared" si="2"/>
        <v>0</v>
      </c>
    </row>
    <row r="52" spans="1:57" ht="74.25" customHeight="1" x14ac:dyDescent="0.8">
      <c r="A52" s="14" t="s">
        <v>105</v>
      </c>
      <c r="B52" s="15" t="s">
        <v>96</v>
      </c>
      <c r="C52" s="40"/>
      <c r="D52" s="40"/>
      <c r="E52" s="40"/>
      <c r="F52" s="40"/>
      <c r="G52" s="40"/>
      <c r="H52" s="40"/>
      <c r="I52" s="40"/>
      <c r="J52" s="40"/>
      <c r="K52" s="40">
        <f t="shared" si="12"/>
        <v>933958</v>
      </c>
      <c r="L52" s="40"/>
      <c r="M52" s="40"/>
      <c r="N52" s="40"/>
      <c r="O52" s="40">
        <v>192307</v>
      </c>
      <c r="P52" s="40"/>
      <c r="Q52" s="40">
        <v>741651</v>
      </c>
      <c r="R52" s="40">
        <v>23496</v>
      </c>
      <c r="S52" s="40"/>
      <c r="T52" s="40"/>
      <c r="U52" s="40"/>
      <c r="V52" s="40"/>
      <c r="W52" s="40"/>
      <c r="X52" s="40"/>
      <c r="Y52" s="40"/>
      <c r="Z52" s="40"/>
      <c r="AA52" s="48"/>
      <c r="AB52" s="40"/>
      <c r="AC52" s="40"/>
      <c r="AD52" s="40"/>
      <c r="AE52" s="40"/>
      <c r="AF52" s="40"/>
      <c r="AG52" s="40"/>
      <c r="AH52" s="40"/>
      <c r="AI52" s="40">
        <f t="shared" si="6"/>
        <v>957454</v>
      </c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f t="shared" si="2"/>
        <v>0</v>
      </c>
    </row>
    <row r="53" spans="1:57" ht="74.25" customHeight="1" x14ac:dyDescent="0.8">
      <c r="A53" s="14" t="s">
        <v>106</v>
      </c>
      <c r="B53" s="15" t="s">
        <v>135</v>
      </c>
      <c r="C53" s="40"/>
      <c r="D53" s="40"/>
      <c r="E53" s="40"/>
      <c r="F53" s="40"/>
      <c r="G53" s="40"/>
      <c r="H53" s="40"/>
      <c r="I53" s="40"/>
      <c r="J53" s="40"/>
      <c r="K53" s="40">
        <f t="shared" si="12"/>
        <v>502444</v>
      </c>
      <c r="L53" s="40"/>
      <c r="M53" s="40"/>
      <c r="N53" s="40"/>
      <c r="O53" s="40"/>
      <c r="P53" s="40"/>
      <c r="Q53" s="40">
        <v>502444</v>
      </c>
      <c r="R53" s="40"/>
      <c r="S53" s="40"/>
      <c r="T53" s="40"/>
      <c r="U53" s="40"/>
      <c r="V53" s="40"/>
      <c r="W53" s="40"/>
      <c r="X53" s="40"/>
      <c r="Y53" s="40"/>
      <c r="Z53" s="40"/>
      <c r="AA53" s="48"/>
      <c r="AB53" s="40">
        <v>120000</v>
      </c>
      <c r="AC53" s="40"/>
      <c r="AD53" s="40"/>
      <c r="AE53" s="40"/>
      <c r="AF53" s="40"/>
      <c r="AG53" s="40"/>
      <c r="AH53" s="40"/>
      <c r="AI53" s="40">
        <f t="shared" si="6"/>
        <v>622444</v>
      </c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>
        <v>4000</v>
      </c>
      <c r="AX53" s="40"/>
      <c r="AY53" s="40"/>
      <c r="AZ53" s="40"/>
      <c r="BA53" s="40"/>
      <c r="BB53" s="40"/>
      <c r="BC53" s="40"/>
      <c r="BD53" s="40"/>
      <c r="BE53" s="40">
        <f t="shared" si="2"/>
        <v>4000</v>
      </c>
    </row>
    <row r="54" spans="1:57" ht="74.25" customHeight="1" x14ac:dyDescent="0.8">
      <c r="A54" s="14" t="s">
        <v>107</v>
      </c>
      <c r="B54" s="15" t="s">
        <v>136</v>
      </c>
      <c r="C54" s="40"/>
      <c r="D54" s="40"/>
      <c r="E54" s="40"/>
      <c r="F54" s="40"/>
      <c r="G54" s="40"/>
      <c r="H54" s="40"/>
      <c r="I54" s="40"/>
      <c r="J54" s="40"/>
      <c r="K54" s="40">
        <f t="shared" si="12"/>
        <v>293821</v>
      </c>
      <c r="L54" s="40"/>
      <c r="M54" s="40"/>
      <c r="N54" s="40"/>
      <c r="O54" s="40"/>
      <c r="P54" s="40"/>
      <c r="Q54" s="40">
        <v>293821</v>
      </c>
      <c r="R54" s="40"/>
      <c r="S54" s="40"/>
      <c r="T54" s="40"/>
      <c r="U54" s="40"/>
      <c r="V54" s="40"/>
      <c r="W54" s="40"/>
      <c r="X54" s="40"/>
      <c r="Y54" s="40"/>
      <c r="Z54" s="40"/>
      <c r="AA54" s="48"/>
      <c r="AB54" s="40"/>
      <c r="AC54" s="40"/>
      <c r="AD54" s="40"/>
      <c r="AE54" s="40">
        <v>2200000</v>
      </c>
      <c r="AF54" s="40"/>
      <c r="AG54" s="40"/>
      <c r="AH54" s="40"/>
      <c r="AI54" s="40">
        <f t="shared" si="6"/>
        <v>2493821</v>
      </c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>
        <f t="shared" si="2"/>
        <v>0</v>
      </c>
    </row>
    <row r="55" spans="1:57" ht="74.25" customHeight="1" x14ac:dyDescent="0.8">
      <c r="A55" s="14" t="s">
        <v>108</v>
      </c>
      <c r="B55" s="15" t="s">
        <v>97</v>
      </c>
      <c r="C55" s="40"/>
      <c r="D55" s="40"/>
      <c r="E55" s="40"/>
      <c r="F55" s="40"/>
      <c r="G55" s="40"/>
      <c r="H55" s="40"/>
      <c r="I55" s="40"/>
      <c r="J55" s="40"/>
      <c r="K55" s="40">
        <f t="shared" si="12"/>
        <v>1994485</v>
      </c>
      <c r="L55" s="40"/>
      <c r="M55" s="40"/>
      <c r="N55" s="40"/>
      <c r="O55" s="40"/>
      <c r="P55" s="40"/>
      <c r="Q55" s="40">
        <v>1994485</v>
      </c>
      <c r="R55" s="40"/>
      <c r="S55" s="40"/>
      <c r="T55" s="40"/>
      <c r="U55" s="40"/>
      <c r="V55" s="40"/>
      <c r="W55" s="40"/>
      <c r="X55" s="40"/>
      <c r="Y55" s="40"/>
      <c r="Z55" s="40"/>
      <c r="AA55" s="48"/>
      <c r="AB55" s="40">
        <v>500000</v>
      </c>
      <c r="AC55" s="40"/>
      <c r="AD55" s="40"/>
      <c r="AE55" s="40"/>
      <c r="AF55" s="40"/>
      <c r="AG55" s="40"/>
      <c r="AH55" s="40"/>
      <c r="AI55" s="40">
        <f t="shared" si="6"/>
        <v>2494485</v>
      </c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>
        <f t="shared" si="2"/>
        <v>0</v>
      </c>
    </row>
    <row r="56" spans="1:57" ht="74.25" customHeight="1" x14ac:dyDescent="0.8">
      <c r="A56" s="14" t="s">
        <v>109</v>
      </c>
      <c r="B56" s="15" t="s">
        <v>98</v>
      </c>
      <c r="C56" s="40"/>
      <c r="D56" s="40"/>
      <c r="E56" s="40"/>
      <c r="F56" s="40"/>
      <c r="G56" s="40"/>
      <c r="H56" s="40"/>
      <c r="I56" s="40"/>
      <c r="J56" s="40"/>
      <c r="K56" s="40">
        <f t="shared" si="12"/>
        <v>624778</v>
      </c>
      <c r="L56" s="40"/>
      <c r="M56" s="40"/>
      <c r="N56" s="40"/>
      <c r="O56" s="40"/>
      <c r="P56" s="40"/>
      <c r="Q56" s="40">
        <v>624778</v>
      </c>
      <c r="R56" s="40"/>
      <c r="S56" s="40"/>
      <c r="T56" s="40"/>
      <c r="U56" s="40"/>
      <c r="V56" s="40"/>
      <c r="W56" s="40"/>
      <c r="X56" s="40"/>
      <c r="Y56" s="40"/>
      <c r="Z56" s="40"/>
      <c r="AA56" s="48"/>
      <c r="AB56" s="40">
        <v>500000</v>
      </c>
      <c r="AC56" s="40"/>
      <c r="AD56" s="40"/>
      <c r="AE56" s="40"/>
      <c r="AF56" s="40"/>
      <c r="AG56" s="40"/>
      <c r="AH56" s="40"/>
      <c r="AI56" s="40">
        <f t="shared" si="6"/>
        <v>1124778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>
        <f t="shared" si="2"/>
        <v>0</v>
      </c>
    </row>
    <row r="57" spans="1:57" ht="74.25" customHeight="1" x14ac:dyDescent="0.8">
      <c r="A57" s="14" t="s">
        <v>110</v>
      </c>
      <c r="B57" s="15" t="s">
        <v>99</v>
      </c>
      <c r="C57" s="40"/>
      <c r="D57" s="40"/>
      <c r="E57" s="40"/>
      <c r="F57" s="40"/>
      <c r="G57" s="40"/>
      <c r="H57" s="40"/>
      <c r="I57" s="40"/>
      <c r="J57" s="40"/>
      <c r="K57" s="40">
        <f t="shared" si="12"/>
        <v>220639</v>
      </c>
      <c r="L57" s="40"/>
      <c r="M57" s="40"/>
      <c r="N57" s="40"/>
      <c r="O57" s="40"/>
      <c r="P57" s="40"/>
      <c r="Q57" s="40">
        <v>220639</v>
      </c>
      <c r="R57" s="40"/>
      <c r="S57" s="40"/>
      <c r="T57" s="40"/>
      <c r="U57" s="40"/>
      <c r="V57" s="40"/>
      <c r="W57" s="40"/>
      <c r="X57" s="40"/>
      <c r="Y57" s="40"/>
      <c r="Z57" s="40"/>
      <c r="AA57" s="48"/>
      <c r="AB57" s="40">
        <v>10000</v>
      </c>
      <c r="AC57" s="40"/>
      <c r="AD57" s="40"/>
      <c r="AE57" s="40"/>
      <c r="AF57" s="40"/>
      <c r="AG57" s="40"/>
      <c r="AH57" s="40"/>
      <c r="AI57" s="40">
        <f t="shared" si="6"/>
        <v>230639</v>
      </c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>
        <f t="shared" si="2"/>
        <v>0</v>
      </c>
    </row>
    <row r="58" spans="1:57" ht="74.25" customHeight="1" x14ac:dyDescent="0.8">
      <c r="A58" s="14" t="s">
        <v>111</v>
      </c>
      <c r="B58" s="15" t="s">
        <v>100</v>
      </c>
      <c r="C58" s="40"/>
      <c r="D58" s="40"/>
      <c r="E58" s="40"/>
      <c r="F58" s="40"/>
      <c r="G58" s="40"/>
      <c r="H58" s="40"/>
      <c r="I58" s="40"/>
      <c r="J58" s="40"/>
      <c r="K58" s="40">
        <f t="shared" si="12"/>
        <v>334235</v>
      </c>
      <c r="L58" s="40"/>
      <c r="M58" s="40"/>
      <c r="N58" s="40"/>
      <c r="O58" s="40"/>
      <c r="P58" s="40"/>
      <c r="Q58" s="40">
        <v>334235</v>
      </c>
      <c r="R58" s="40"/>
      <c r="S58" s="40"/>
      <c r="T58" s="40"/>
      <c r="U58" s="40"/>
      <c r="V58" s="40"/>
      <c r="W58" s="40"/>
      <c r="X58" s="40"/>
      <c r="Y58" s="40"/>
      <c r="Z58" s="40"/>
      <c r="AA58" s="48"/>
      <c r="AB58" s="40">
        <v>10000</v>
      </c>
      <c r="AC58" s="40"/>
      <c r="AD58" s="40"/>
      <c r="AE58" s="40"/>
      <c r="AF58" s="40"/>
      <c r="AG58" s="40"/>
      <c r="AH58" s="40"/>
      <c r="AI58" s="40">
        <f t="shared" si="6"/>
        <v>344235</v>
      </c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>
        <f t="shared" si="2"/>
        <v>0</v>
      </c>
    </row>
    <row r="59" spans="1:57" ht="74.25" customHeight="1" x14ac:dyDescent="0.8">
      <c r="A59" s="14" t="s">
        <v>112</v>
      </c>
      <c r="B59" s="15" t="s">
        <v>101</v>
      </c>
      <c r="C59" s="40"/>
      <c r="D59" s="40"/>
      <c r="E59" s="40"/>
      <c r="F59" s="40"/>
      <c r="G59" s="40"/>
      <c r="H59" s="40"/>
      <c r="I59" s="40"/>
      <c r="J59" s="40"/>
      <c r="K59" s="40">
        <f t="shared" si="12"/>
        <v>535212</v>
      </c>
      <c r="L59" s="40"/>
      <c r="M59" s="40"/>
      <c r="N59" s="40"/>
      <c r="O59" s="40"/>
      <c r="P59" s="40"/>
      <c r="Q59" s="40">
        <v>535212</v>
      </c>
      <c r="R59" s="40"/>
      <c r="S59" s="40"/>
      <c r="T59" s="40"/>
      <c r="U59" s="40"/>
      <c r="V59" s="40"/>
      <c r="W59" s="40"/>
      <c r="X59" s="40"/>
      <c r="Y59" s="40"/>
      <c r="Z59" s="40"/>
      <c r="AA59" s="48"/>
      <c r="AB59" s="40">
        <v>40000</v>
      </c>
      <c r="AC59" s="40"/>
      <c r="AD59" s="40"/>
      <c r="AE59" s="40"/>
      <c r="AF59" s="40"/>
      <c r="AG59" s="40"/>
      <c r="AH59" s="40"/>
      <c r="AI59" s="40">
        <f t="shared" si="6"/>
        <v>575212</v>
      </c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>
        <f t="shared" si="2"/>
        <v>0</v>
      </c>
    </row>
    <row r="60" spans="1:57" ht="74.25" customHeight="1" x14ac:dyDescent="0.8">
      <c r="A60" s="14" t="s">
        <v>15</v>
      </c>
      <c r="B60" s="15" t="s">
        <v>87</v>
      </c>
      <c r="C60" s="41"/>
      <c r="D60" s="41"/>
      <c r="E60" s="41"/>
      <c r="F60" s="41"/>
      <c r="G60" s="40"/>
      <c r="H60" s="40"/>
      <c r="I60" s="40"/>
      <c r="J60" s="40"/>
      <c r="K60" s="40">
        <f t="shared" si="12"/>
        <v>997669</v>
      </c>
      <c r="L60" s="40">
        <v>150000</v>
      </c>
      <c r="M60" s="40"/>
      <c r="N60" s="40"/>
      <c r="O60" s="40">
        <v>192307</v>
      </c>
      <c r="P60" s="40"/>
      <c r="Q60" s="40">
        <v>655362</v>
      </c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>
        <f>250000+20000</f>
        <v>270000</v>
      </c>
      <c r="AC60" s="40"/>
      <c r="AD60" s="40"/>
      <c r="AE60" s="40"/>
      <c r="AF60" s="40"/>
      <c r="AG60" s="40"/>
      <c r="AH60" s="40">
        <f>1486900</f>
        <v>1486900</v>
      </c>
      <c r="AI60" s="40">
        <f t="shared" si="6"/>
        <v>2754569</v>
      </c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>
        <f t="shared" si="2"/>
        <v>0</v>
      </c>
    </row>
    <row r="61" spans="1:57" ht="74.25" customHeight="1" x14ac:dyDescent="0.8">
      <c r="A61" s="14" t="s">
        <v>113</v>
      </c>
      <c r="B61" s="15" t="s">
        <v>102</v>
      </c>
      <c r="C61" s="40"/>
      <c r="D61" s="40"/>
      <c r="E61" s="40"/>
      <c r="F61" s="40"/>
      <c r="G61" s="40"/>
      <c r="H61" s="40"/>
      <c r="I61" s="40"/>
      <c r="J61" s="40"/>
      <c r="K61" s="40">
        <f t="shared" si="12"/>
        <v>385571</v>
      </c>
      <c r="L61" s="40"/>
      <c r="M61" s="40"/>
      <c r="N61" s="40"/>
      <c r="O61" s="40"/>
      <c r="P61" s="40"/>
      <c r="Q61" s="40">
        <v>385571</v>
      </c>
      <c r="R61" s="40"/>
      <c r="S61" s="40"/>
      <c r="T61" s="40"/>
      <c r="U61" s="40"/>
      <c r="V61" s="40"/>
      <c r="W61" s="40"/>
      <c r="X61" s="40"/>
      <c r="Y61" s="40"/>
      <c r="Z61" s="40"/>
      <c r="AA61" s="48"/>
      <c r="AB61" s="40">
        <v>40000</v>
      </c>
      <c r="AC61" s="40"/>
      <c r="AD61" s="40"/>
      <c r="AE61" s="40"/>
      <c r="AF61" s="40"/>
      <c r="AG61" s="40"/>
      <c r="AH61" s="40"/>
      <c r="AI61" s="40">
        <f t="shared" si="6"/>
        <v>425571</v>
      </c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>
        <f t="shared" si="2"/>
        <v>0</v>
      </c>
    </row>
    <row r="62" spans="1:57" ht="74.25" customHeight="1" x14ac:dyDescent="0.8">
      <c r="A62" s="14" t="s">
        <v>114</v>
      </c>
      <c r="B62" s="15" t="s">
        <v>103</v>
      </c>
      <c r="C62" s="40"/>
      <c r="D62" s="40"/>
      <c r="E62" s="40"/>
      <c r="F62" s="40"/>
      <c r="G62" s="40"/>
      <c r="H62" s="40"/>
      <c r="I62" s="40"/>
      <c r="J62" s="40"/>
      <c r="K62" s="40">
        <f t="shared" si="12"/>
        <v>8225934</v>
      </c>
      <c r="L62" s="40"/>
      <c r="M62" s="40"/>
      <c r="N62" s="40"/>
      <c r="O62" s="40">
        <v>192307</v>
      </c>
      <c r="P62" s="40">
        <v>6500080</v>
      </c>
      <c r="Q62" s="40">
        <v>1533547</v>
      </c>
      <c r="R62" s="40">
        <v>23496</v>
      </c>
      <c r="S62" s="40"/>
      <c r="T62" s="40"/>
      <c r="U62" s="40"/>
      <c r="V62" s="40"/>
      <c r="W62" s="40"/>
      <c r="X62" s="40"/>
      <c r="Y62" s="40"/>
      <c r="Z62" s="40"/>
      <c r="AA62" s="48"/>
      <c r="AB62" s="40"/>
      <c r="AC62" s="40"/>
      <c r="AD62" s="40"/>
      <c r="AE62" s="40"/>
      <c r="AF62" s="40"/>
      <c r="AG62" s="40"/>
      <c r="AH62" s="40"/>
      <c r="AI62" s="40">
        <f t="shared" si="6"/>
        <v>8249430</v>
      </c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>
        <v>14000</v>
      </c>
      <c r="AX62" s="40"/>
      <c r="AY62" s="40"/>
      <c r="AZ62" s="40"/>
      <c r="BA62" s="40"/>
      <c r="BB62" s="40"/>
      <c r="BC62" s="40"/>
      <c r="BD62" s="40"/>
      <c r="BE62" s="40">
        <f t="shared" si="2"/>
        <v>14000</v>
      </c>
    </row>
    <row r="63" spans="1:57" ht="74.25" customHeight="1" x14ac:dyDescent="0.8">
      <c r="A63" s="14" t="s">
        <v>16</v>
      </c>
      <c r="B63" s="15" t="s">
        <v>89</v>
      </c>
      <c r="C63" s="41"/>
      <c r="D63" s="41"/>
      <c r="E63" s="41"/>
      <c r="F63" s="41"/>
      <c r="G63" s="40"/>
      <c r="H63" s="40"/>
      <c r="I63" s="40"/>
      <c r="J63" s="40"/>
      <c r="K63" s="40">
        <f t="shared" si="12"/>
        <v>538489</v>
      </c>
      <c r="L63" s="40"/>
      <c r="M63" s="40"/>
      <c r="N63" s="40"/>
      <c r="O63" s="40"/>
      <c r="P63" s="40"/>
      <c r="Q63" s="40">
        <v>538489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>
        <v>250000</v>
      </c>
      <c r="AC63" s="40"/>
      <c r="AD63" s="40"/>
      <c r="AE63" s="40"/>
      <c r="AF63" s="40"/>
      <c r="AG63" s="40"/>
      <c r="AH63" s="40">
        <v>1213000</v>
      </c>
      <c r="AI63" s="40">
        <f t="shared" si="6"/>
        <v>2001489</v>
      </c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>
        <f t="shared" si="2"/>
        <v>0</v>
      </c>
    </row>
    <row r="64" spans="1:57" ht="74.25" customHeight="1" x14ac:dyDescent="0.8">
      <c r="A64" s="14" t="s">
        <v>94</v>
      </c>
      <c r="B64" s="15" t="s">
        <v>117</v>
      </c>
      <c r="C64" s="41"/>
      <c r="D64" s="41"/>
      <c r="E64" s="41"/>
      <c r="F64" s="41"/>
      <c r="G64" s="40"/>
      <c r="H64" s="40"/>
      <c r="I64" s="40"/>
      <c r="J64" s="40"/>
      <c r="K64" s="40">
        <f t="shared" si="12"/>
        <v>1619836</v>
      </c>
      <c r="L64" s="40"/>
      <c r="M64" s="40"/>
      <c r="N64" s="40"/>
      <c r="O64" s="40"/>
      <c r="P64" s="40"/>
      <c r="Q64" s="40">
        <v>1619836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>
        <f t="shared" si="6"/>
        <v>1619836</v>
      </c>
      <c r="AJ64" s="40"/>
      <c r="AK64" s="40"/>
      <c r="AL64" s="40"/>
      <c r="AM64" s="40">
        <v>21000000</v>
      </c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>
        <f t="shared" si="2"/>
        <v>21000000</v>
      </c>
    </row>
    <row r="65" spans="1:57" ht="74.25" customHeight="1" x14ac:dyDescent="0.8">
      <c r="A65" s="14" t="s">
        <v>183</v>
      </c>
      <c r="B65" s="15" t="s">
        <v>180</v>
      </c>
      <c r="C65" s="40"/>
      <c r="D65" s="40"/>
      <c r="E65" s="40"/>
      <c r="F65" s="40"/>
      <c r="G65" s="40"/>
      <c r="H65" s="40"/>
      <c r="I65" s="40"/>
      <c r="J65" s="40"/>
      <c r="K65" s="40">
        <f t="shared" si="12"/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8"/>
      <c r="AB65" s="40">
        <f>82300-56500</f>
        <v>25800</v>
      </c>
      <c r="AC65" s="40"/>
      <c r="AD65" s="40"/>
      <c r="AE65" s="40">
        <v>500000</v>
      </c>
      <c r="AF65" s="40"/>
      <c r="AG65" s="40"/>
      <c r="AH65" s="40"/>
      <c r="AI65" s="40">
        <f t="shared" si="6"/>
        <v>525800</v>
      </c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>
        <f t="shared" si="2"/>
        <v>0</v>
      </c>
    </row>
    <row r="66" spans="1:57" ht="74.25" customHeight="1" x14ac:dyDescent="0.8">
      <c r="A66" s="14" t="s">
        <v>195</v>
      </c>
      <c r="B66" s="15" t="s">
        <v>196</v>
      </c>
      <c r="C66" s="40"/>
      <c r="D66" s="40"/>
      <c r="E66" s="40"/>
      <c r="F66" s="40"/>
      <c r="G66" s="40"/>
      <c r="H66" s="40"/>
      <c r="I66" s="40"/>
      <c r="J66" s="40"/>
      <c r="K66" s="40">
        <f t="shared" si="12"/>
        <v>428170</v>
      </c>
      <c r="L66" s="40"/>
      <c r="M66" s="40"/>
      <c r="N66" s="40"/>
      <c r="O66" s="40"/>
      <c r="P66" s="40"/>
      <c r="Q66" s="40">
        <v>428170</v>
      </c>
      <c r="R66" s="40"/>
      <c r="S66" s="40"/>
      <c r="T66" s="40"/>
      <c r="U66" s="40"/>
      <c r="V66" s="40"/>
      <c r="W66" s="40"/>
      <c r="X66" s="40"/>
      <c r="Y66" s="40"/>
      <c r="Z66" s="40"/>
      <c r="AA66" s="48"/>
      <c r="AB66" s="40"/>
      <c r="AC66" s="40"/>
      <c r="AD66" s="40"/>
      <c r="AE66" s="40"/>
      <c r="AF66" s="40"/>
      <c r="AG66" s="40"/>
      <c r="AH66" s="40"/>
      <c r="AI66" s="40">
        <f t="shared" si="6"/>
        <v>428170</v>
      </c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>
        <f t="shared" si="2"/>
        <v>0</v>
      </c>
    </row>
    <row r="67" spans="1:57" ht="74.25" customHeight="1" x14ac:dyDescent="0.8">
      <c r="A67" s="14" t="s">
        <v>197</v>
      </c>
      <c r="B67" s="15" t="s">
        <v>198</v>
      </c>
      <c r="C67" s="40"/>
      <c r="D67" s="40"/>
      <c r="E67" s="40"/>
      <c r="F67" s="40"/>
      <c r="G67" s="40"/>
      <c r="H67" s="40"/>
      <c r="I67" s="40"/>
      <c r="J67" s="40"/>
      <c r="K67" s="40">
        <f t="shared" si="12"/>
        <v>618225</v>
      </c>
      <c r="L67" s="40"/>
      <c r="M67" s="40"/>
      <c r="N67" s="40"/>
      <c r="O67" s="40"/>
      <c r="P67" s="40"/>
      <c r="Q67" s="40">
        <v>618225</v>
      </c>
      <c r="R67" s="40"/>
      <c r="S67" s="40"/>
      <c r="T67" s="40"/>
      <c r="U67" s="40"/>
      <c r="V67" s="40"/>
      <c r="W67" s="40"/>
      <c r="X67" s="40"/>
      <c r="Y67" s="40"/>
      <c r="Z67" s="40"/>
      <c r="AA67" s="48"/>
      <c r="AB67" s="40"/>
      <c r="AC67" s="40"/>
      <c r="AD67" s="40"/>
      <c r="AE67" s="40"/>
      <c r="AF67" s="40"/>
      <c r="AG67" s="40"/>
      <c r="AH67" s="40"/>
      <c r="AI67" s="40">
        <f t="shared" si="6"/>
        <v>618225</v>
      </c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>
        <f t="shared" si="2"/>
        <v>0</v>
      </c>
    </row>
    <row r="68" spans="1:57" ht="74.25" customHeight="1" x14ac:dyDescent="0.8">
      <c r="A68" s="14" t="s">
        <v>184</v>
      </c>
      <c r="B68" s="15" t="s">
        <v>182</v>
      </c>
      <c r="C68" s="41"/>
      <c r="D68" s="41"/>
      <c r="E68" s="41"/>
      <c r="F68" s="41"/>
      <c r="G68" s="40"/>
      <c r="H68" s="40"/>
      <c r="I68" s="40"/>
      <c r="J68" s="40"/>
      <c r="K68" s="40">
        <f t="shared" si="12"/>
        <v>1705033</v>
      </c>
      <c r="L68" s="40"/>
      <c r="M68" s="40"/>
      <c r="N68" s="40"/>
      <c r="O68" s="40"/>
      <c r="P68" s="40"/>
      <c r="Q68" s="40">
        <v>1705033</v>
      </c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>
        <v>15000</v>
      </c>
      <c r="AC68" s="40"/>
      <c r="AD68" s="40"/>
      <c r="AE68" s="40"/>
      <c r="AF68" s="40"/>
      <c r="AG68" s="40"/>
      <c r="AH68" s="40"/>
      <c r="AI68" s="40">
        <f t="shared" si="6"/>
        <v>1720033</v>
      </c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f t="shared" si="2"/>
        <v>0</v>
      </c>
    </row>
    <row r="69" spans="1:57" ht="74.25" customHeight="1" x14ac:dyDescent="0.8">
      <c r="A69" s="14" t="s">
        <v>199</v>
      </c>
      <c r="B69" s="15" t="s">
        <v>200</v>
      </c>
      <c r="C69" s="41"/>
      <c r="D69" s="41"/>
      <c r="E69" s="41"/>
      <c r="F69" s="41"/>
      <c r="G69" s="40"/>
      <c r="H69" s="40"/>
      <c r="I69" s="40"/>
      <c r="J69" s="40"/>
      <c r="K69" s="40">
        <f t="shared" si="12"/>
        <v>455477</v>
      </c>
      <c r="L69" s="40"/>
      <c r="M69" s="40"/>
      <c r="N69" s="40"/>
      <c r="O69" s="40"/>
      <c r="P69" s="40"/>
      <c r="Q69" s="40">
        <v>455477</v>
      </c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>
        <f t="shared" si="6"/>
        <v>455477</v>
      </c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>
        <f t="shared" si="2"/>
        <v>0</v>
      </c>
    </row>
    <row r="70" spans="1:57" ht="74.25" customHeight="1" x14ac:dyDescent="0.8">
      <c r="A70" s="14" t="s">
        <v>148</v>
      </c>
      <c r="B70" s="15" t="s">
        <v>149</v>
      </c>
      <c r="C70" s="41"/>
      <c r="D70" s="41"/>
      <c r="E70" s="41"/>
      <c r="F70" s="41"/>
      <c r="G70" s="40"/>
      <c r="H70" s="40">
        <v>46000</v>
      </c>
      <c r="I70" s="40">
        <v>46000</v>
      </c>
      <c r="J70" s="40"/>
      <c r="K70" s="40">
        <f t="shared" si="12"/>
        <v>1022365</v>
      </c>
      <c r="L70" s="40"/>
      <c r="M70" s="40"/>
      <c r="N70" s="40"/>
      <c r="O70" s="40"/>
      <c r="P70" s="40"/>
      <c r="Q70" s="40">
        <v>1022365</v>
      </c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>
        <f t="shared" si="6"/>
        <v>1068365</v>
      </c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f t="shared" si="2"/>
        <v>0</v>
      </c>
    </row>
    <row r="71" spans="1:57" ht="74.25" customHeight="1" x14ac:dyDescent="0.8">
      <c r="A71" s="14" t="s">
        <v>201</v>
      </c>
      <c r="B71" s="15" t="s">
        <v>205</v>
      </c>
      <c r="C71" s="41"/>
      <c r="D71" s="41"/>
      <c r="E71" s="41"/>
      <c r="F71" s="41"/>
      <c r="G71" s="40"/>
      <c r="H71" s="40"/>
      <c r="I71" s="40"/>
      <c r="J71" s="40"/>
      <c r="K71" s="40">
        <f t="shared" si="12"/>
        <v>322220</v>
      </c>
      <c r="L71" s="40"/>
      <c r="M71" s="40"/>
      <c r="N71" s="40"/>
      <c r="O71" s="40"/>
      <c r="P71" s="40"/>
      <c r="Q71" s="40">
        <v>322220</v>
      </c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>
        <f t="shared" si="6"/>
        <v>322220</v>
      </c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>
        <f t="shared" si="2"/>
        <v>0</v>
      </c>
    </row>
    <row r="72" spans="1:57" ht="74.25" customHeight="1" x14ac:dyDescent="0.8">
      <c r="A72" s="14" t="s">
        <v>202</v>
      </c>
      <c r="B72" s="15" t="s">
        <v>206</v>
      </c>
      <c r="C72" s="41"/>
      <c r="D72" s="41"/>
      <c r="E72" s="41"/>
      <c r="F72" s="41"/>
      <c r="G72" s="40"/>
      <c r="H72" s="40"/>
      <c r="I72" s="40"/>
      <c r="J72" s="40"/>
      <c r="K72" s="40">
        <f t="shared" si="12"/>
        <v>1931133</v>
      </c>
      <c r="L72" s="40"/>
      <c r="M72" s="40"/>
      <c r="N72" s="40"/>
      <c r="O72" s="40"/>
      <c r="P72" s="40"/>
      <c r="Q72" s="40">
        <v>1931133</v>
      </c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>
        <f t="shared" si="6"/>
        <v>1931133</v>
      </c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>
        <f t="shared" si="2"/>
        <v>0</v>
      </c>
    </row>
    <row r="73" spans="1:57" ht="74.25" customHeight="1" x14ac:dyDescent="0.8">
      <c r="A73" s="14" t="s">
        <v>203</v>
      </c>
      <c r="B73" s="15" t="s">
        <v>207</v>
      </c>
      <c r="C73" s="41"/>
      <c r="D73" s="41"/>
      <c r="E73" s="41"/>
      <c r="F73" s="41"/>
      <c r="G73" s="40"/>
      <c r="H73" s="40"/>
      <c r="I73" s="40"/>
      <c r="J73" s="40"/>
      <c r="K73" s="40">
        <f t="shared" si="12"/>
        <v>360449</v>
      </c>
      <c r="L73" s="40"/>
      <c r="M73" s="40"/>
      <c r="N73" s="40"/>
      <c r="O73" s="40"/>
      <c r="P73" s="40"/>
      <c r="Q73" s="40">
        <v>360449</v>
      </c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>
        <f t="shared" si="6"/>
        <v>360449</v>
      </c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>
        <f t="shared" si="2"/>
        <v>0</v>
      </c>
    </row>
    <row r="74" spans="1:57" ht="74.25" customHeight="1" x14ac:dyDescent="0.8">
      <c r="A74" s="14" t="s">
        <v>204</v>
      </c>
      <c r="B74" s="15" t="s">
        <v>208</v>
      </c>
      <c r="C74" s="41"/>
      <c r="D74" s="41"/>
      <c r="E74" s="41"/>
      <c r="F74" s="41"/>
      <c r="G74" s="40"/>
      <c r="H74" s="40"/>
      <c r="I74" s="40"/>
      <c r="J74" s="40"/>
      <c r="K74" s="40">
        <f t="shared" si="12"/>
        <v>890200</v>
      </c>
      <c r="L74" s="40"/>
      <c r="M74" s="40"/>
      <c r="N74" s="40"/>
      <c r="O74" s="40"/>
      <c r="P74" s="40"/>
      <c r="Q74" s="40">
        <v>890200</v>
      </c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>
        <f>5000+150000</f>
        <v>155000</v>
      </c>
      <c r="AC74" s="40"/>
      <c r="AD74" s="40"/>
      <c r="AE74" s="40"/>
      <c r="AF74" s="40"/>
      <c r="AG74" s="40"/>
      <c r="AH74" s="40"/>
      <c r="AI74" s="40">
        <f t="shared" si="6"/>
        <v>1045200</v>
      </c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>
        <f t="shared" si="2"/>
        <v>0</v>
      </c>
    </row>
    <row r="75" spans="1:57" ht="74.25" customHeight="1" x14ac:dyDescent="0.8">
      <c r="A75" s="14" t="s">
        <v>185</v>
      </c>
      <c r="B75" s="15" t="s">
        <v>181</v>
      </c>
      <c r="C75" s="41"/>
      <c r="D75" s="41"/>
      <c r="E75" s="41"/>
      <c r="F75" s="41"/>
      <c r="G75" s="40"/>
      <c r="H75" s="40"/>
      <c r="I75" s="40"/>
      <c r="J75" s="40"/>
      <c r="K75" s="40">
        <f t="shared" si="12"/>
        <v>1769477</v>
      </c>
      <c r="L75" s="40"/>
      <c r="M75" s="40"/>
      <c r="N75" s="40"/>
      <c r="O75" s="40"/>
      <c r="P75" s="40"/>
      <c r="Q75" s="40">
        <v>1769477</v>
      </c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>
        <f>25800+56500</f>
        <v>82300</v>
      </c>
      <c r="AC75" s="40"/>
      <c r="AD75" s="40"/>
      <c r="AE75" s="40"/>
      <c r="AF75" s="40"/>
      <c r="AG75" s="40"/>
      <c r="AH75" s="40"/>
      <c r="AI75" s="40">
        <f t="shared" si="6"/>
        <v>1851777</v>
      </c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>
        <f t="shared" si="2"/>
        <v>0</v>
      </c>
    </row>
    <row r="76" spans="1:57" ht="74.25" customHeight="1" x14ac:dyDescent="0.8">
      <c r="A76" s="14" t="s">
        <v>151</v>
      </c>
      <c r="B76" s="15" t="s">
        <v>152</v>
      </c>
      <c r="C76" s="41"/>
      <c r="D76" s="41"/>
      <c r="E76" s="41"/>
      <c r="F76" s="41"/>
      <c r="G76" s="40"/>
      <c r="H76" s="40">
        <v>50000</v>
      </c>
      <c r="I76" s="40">
        <v>50000</v>
      </c>
      <c r="J76" s="40"/>
      <c r="K76" s="40">
        <f t="shared" si="12"/>
        <v>1488764</v>
      </c>
      <c r="L76" s="40"/>
      <c r="M76" s="40"/>
      <c r="N76" s="40"/>
      <c r="O76" s="40"/>
      <c r="P76" s="40"/>
      <c r="Q76" s="40">
        <v>1488764</v>
      </c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>
        <v>90000</v>
      </c>
      <c r="AC76" s="40"/>
      <c r="AD76" s="40"/>
      <c r="AE76" s="40"/>
      <c r="AF76" s="40"/>
      <c r="AG76" s="40"/>
      <c r="AH76" s="40"/>
      <c r="AI76" s="40">
        <f t="shared" ref="AI76:AI89" si="13">SUM(C76:AH76)-I76-J76-L76-M76-N76-O76-P76-Q76</f>
        <v>1628764</v>
      </c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>
        <f t="shared" si="2"/>
        <v>0</v>
      </c>
    </row>
    <row r="77" spans="1:57" ht="74.25" customHeight="1" x14ac:dyDescent="0.8">
      <c r="A77" s="14" t="s">
        <v>209</v>
      </c>
      <c r="B77" s="15" t="s">
        <v>215</v>
      </c>
      <c r="C77" s="41"/>
      <c r="D77" s="41"/>
      <c r="E77" s="41"/>
      <c r="F77" s="41"/>
      <c r="G77" s="40"/>
      <c r="H77" s="40"/>
      <c r="I77" s="40"/>
      <c r="J77" s="40"/>
      <c r="K77" s="40">
        <f t="shared" si="12"/>
        <v>264329</v>
      </c>
      <c r="L77" s="40"/>
      <c r="M77" s="40"/>
      <c r="N77" s="40"/>
      <c r="O77" s="40"/>
      <c r="P77" s="40"/>
      <c r="Q77" s="40">
        <v>264329</v>
      </c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>
        <f t="shared" si="13"/>
        <v>264329</v>
      </c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>
        <f t="shared" ref="BE77:BE89" si="14">SUM(AJ77:BD77)</f>
        <v>0</v>
      </c>
    </row>
    <row r="78" spans="1:57" ht="74.25" customHeight="1" x14ac:dyDescent="0.8">
      <c r="A78" s="14" t="s">
        <v>210</v>
      </c>
      <c r="B78" s="15" t="s">
        <v>216</v>
      </c>
      <c r="C78" s="41"/>
      <c r="D78" s="41"/>
      <c r="E78" s="41"/>
      <c r="F78" s="41"/>
      <c r="G78" s="40"/>
      <c r="H78" s="40"/>
      <c r="I78" s="40"/>
      <c r="J78" s="40"/>
      <c r="K78" s="40">
        <f t="shared" si="12"/>
        <v>406324</v>
      </c>
      <c r="L78" s="40"/>
      <c r="M78" s="40"/>
      <c r="N78" s="40"/>
      <c r="O78" s="40"/>
      <c r="P78" s="40"/>
      <c r="Q78" s="40">
        <v>406324</v>
      </c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>
        <f t="shared" si="13"/>
        <v>406324</v>
      </c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>
        <v>4000</v>
      </c>
      <c r="AX78" s="40"/>
      <c r="AY78" s="40"/>
      <c r="AZ78" s="40"/>
      <c r="BA78" s="40"/>
      <c r="BB78" s="40"/>
      <c r="BC78" s="40"/>
      <c r="BD78" s="40"/>
      <c r="BE78" s="40">
        <f t="shared" si="14"/>
        <v>4000</v>
      </c>
    </row>
    <row r="79" spans="1:57" ht="74.25" customHeight="1" x14ac:dyDescent="0.8">
      <c r="A79" s="14" t="s">
        <v>211</v>
      </c>
      <c r="B79" s="15" t="s">
        <v>217</v>
      </c>
      <c r="C79" s="41"/>
      <c r="D79" s="41"/>
      <c r="E79" s="41"/>
      <c r="F79" s="41"/>
      <c r="G79" s="40"/>
      <c r="H79" s="40"/>
      <c r="I79" s="40"/>
      <c r="J79" s="40"/>
      <c r="K79" s="40">
        <f t="shared" si="12"/>
        <v>337511</v>
      </c>
      <c r="L79" s="40"/>
      <c r="M79" s="40"/>
      <c r="N79" s="40"/>
      <c r="O79" s="40"/>
      <c r="P79" s="40"/>
      <c r="Q79" s="40">
        <v>337511</v>
      </c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>
        <f t="shared" si="13"/>
        <v>337511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>
        <f t="shared" si="14"/>
        <v>0</v>
      </c>
    </row>
    <row r="80" spans="1:57" ht="74.25" customHeight="1" x14ac:dyDescent="0.8">
      <c r="A80" s="14" t="s">
        <v>212</v>
      </c>
      <c r="B80" s="15" t="s">
        <v>218</v>
      </c>
      <c r="C80" s="41"/>
      <c r="D80" s="41"/>
      <c r="E80" s="41"/>
      <c r="F80" s="41"/>
      <c r="G80" s="40"/>
      <c r="H80" s="40"/>
      <c r="I80" s="40"/>
      <c r="J80" s="40"/>
      <c r="K80" s="40">
        <f t="shared" si="12"/>
        <v>478414</v>
      </c>
      <c r="L80" s="40"/>
      <c r="M80" s="40"/>
      <c r="N80" s="40"/>
      <c r="O80" s="40"/>
      <c r="P80" s="40"/>
      <c r="Q80" s="40">
        <v>478414</v>
      </c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>
        <f t="shared" si="13"/>
        <v>478414</v>
      </c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>
        <f t="shared" si="14"/>
        <v>0</v>
      </c>
    </row>
    <row r="81" spans="1:57" ht="74.25" customHeight="1" x14ac:dyDescent="0.8">
      <c r="A81" s="14" t="s">
        <v>213</v>
      </c>
      <c r="B81" s="15" t="s">
        <v>219</v>
      </c>
      <c r="C81" s="41"/>
      <c r="D81" s="41"/>
      <c r="E81" s="41"/>
      <c r="F81" s="41"/>
      <c r="G81" s="40"/>
      <c r="H81" s="40"/>
      <c r="I81" s="40"/>
      <c r="J81" s="40"/>
      <c r="K81" s="40">
        <f t="shared" si="12"/>
        <v>288359</v>
      </c>
      <c r="L81" s="40"/>
      <c r="M81" s="40"/>
      <c r="N81" s="40"/>
      <c r="O81" s="40"/>
      <c r="P81" s="40"/>
      <c r="Q81" s="40">
        <v>288359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>
        <f t="shared" si="13"/>
        <v>288359</v>
      </c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>
        <f t="shared" si="14"/>
        <v>0</v>
      </c>
    </row>
    <row r="82" spans="1:57" ht="74.25" customHeight="1" x14ac:dyDescent="0.8">
      <c r="A82" s="14" t="s">
        <v>214</v>
      </c>
      <c r="B82" s="15" t="s">
        <v>220</v>
      </c>
      <c r="C82" s="41"/>
      <c r="D82" s="41"/>
      <c r="E82" s="41"/>
      <c r="F82" s="41"/>
      <c r="G82" s="40"/>
      <c r="H82" s="40"/>
      <c r="I82" s="40"/>
      <c r="J82" s="40"/>
      <c r="K82" s="40">
        <f t="shared" si="12"/>
        <v>258868</v>
      </c>
      <c r="L82" s="40"/>
      <c r="M82" s="40"/>
      <c r="N82" s="40"/>
      <c r="O82" s="40"/>
      <c r="P82" s="40"/>
      <c r="Q82" s="40">
        <v>258868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>
        <f t="shared" si="13"/>
        <v>258868</v>
      </c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>
        <f t="shared" si="14"/>
        <v>0</v>
      </c>
    </row>
    <row r="83" spans="1:57" ht="74.25" customHeight="1" x14ac:dyDescent="0.8">
      <c r="A83" s="14" t="s">
        <v>150</v>
      </c>
      <c r="B83" s="15" t="s">
        <v>174</v>
      </c>
      <c r="C83" s="41"/>
      <c r="D83" s="41"/>
      <c r="E83" s="41"/>
      <c r="F83" s="41"/>
      <c r="G83" s="40"/>
      <c r="H83" s="40">
        <v>45000</v>
      </c>
      <c r="I83" s="40">
        <v>45000</v>
      </c>
      <c r="J83" s="40"/>
      <c r="K83" s="40">
        <f t="shared" si="12"/>
        <v>304801</v>
      </c>
      <c r="L83" s="40"/>
      <c r="M83" s="40"/>
      <c r="N83" s="40"/>
      <c r="O83" s="40"/>
      <c r="P83" s="40"/>
      <c r="Q83" s="40">
        <v>304801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>
        <f t="shared" si="13"/>
        <v>349801</v>
      </c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>
        <f t="shared" si="14"/>
        <v>0</v>
      </c>
    </row>
    <row r="84" spans="1:57" ht="74.25" customHeight="1" x14ac:dyDescent="0.8">
      <c r="A84" s="14"/>
      <c r="B84" s="15" t="s">
        <v>56</v>
      </c>
      <c r="C84" s="41">
        <f>SUM(C50:C83)</f>
        <v>0</v>
      </c>
      <c r="D84" s="41">
        <f t="shared" ref="D84:AG84" si="15">SUM(D50:D83)</f>
        <v>0</v>
      </c>
      <c r="E84" s="41">
        <f t="shared" si="15"/>
        <v>0</v>
      </c>
      <c r="F84" s="41">
        <f t="shared" si="15"/>
        <v>0</v>
      </c>
      <c r="G84" s="41">
        <f t="shared" si="15"/>
        <v>0</v>
      </c>
      <c r="H84" s="41">
        <f t="shared" si="15"/>
        <v>141000</v>
      </c>
      <c r="I84" s="41">
        <f t="shared" si="15"/>
        <v>141000</v>
      </c>
      <c r="J84" s="41">
        <f t="shared" si="15"/>
        <v>0</v>
      </c>
      <c r="K84" s="41">
        <f t="shared" si="15"/>
        <v>34255415</v>
      </c>
      <c r="L84" s="41">
        <f t="shared" si="15"/>
        <v>150000</v>
      </c>
      <c r="M84" s="41">
        <f t="shared" si="15"/>
        <v>0</v>
      </c>
      <c r="N84" s="41">
        <f t="shared" si="15"/>
        <v>0</v>
      </c>
      <c r="O84" s="41">
        <f t="shared" si="15"/>
        <v>961535</v>
      </c>
      <c r="P84" s="41">
        <f t="shared" si="15"/>
        <v>6500080</v>
      </c>
      <c r="Q84" s="41">
        <f t="shared" si="15"/>
        <v>26643800</v>
      </c>
      <c r="R84" s="41">
        <f t="shared" si="15"/>
        <v>117480</v>
      </c>
      <c r="S84" s="41">
        <f t="shared" si="15"/>
        <v>0</v>
      </c>
      <c r="T84" s="41">
        <f t="shared" si="15"/>
        <v>0</v>
      </c>
      <c r="U84" s="41">
        <f t="shared" si="15"/>
        <v>0</v>
      </c>
      <c r="V84" s="41">
        <f t="shared" si="15"/>
        <v>0</v>
      </c>
      <c r="W84" s="41">
        <f t="shared" si="15"/>
        <v>0</v>
      </c>
      <c r="X84" s="41">
        <f t="shared" si="15"/>
        <v>0</v>
      </c>
      <c r="Y84" s="41">
        <f t="shared" si="15"/>
        <v>0</v>
      </c>
      <c r="Z84" s="41">
        <f t="shared" si="15"/>
        <v>0</v>
      </c>
      <c r="AA84" s="41">
        <f t="shared" si="15"/>
        <v>0</v>
      </c>
      <c r="AB84" s="41">
        <f t="shared" si="15"/>
        <v>2218100</v>
      </c>
      <c r="AC84" s="41">
        <f t="shared" si="15"/>
        <v>0</v>
      </c>
      <c r="AD84" s="41">
        <f t="shared" si="15"/>
        <v>0</v>
      </c>
      <c r="AE84" s="41">
        <f t="shared" si="15"/>
        <v>2700000</v>
      </c>
      <c r="AF84" s="41">
        <f t="shared" si="15"/>
        <v>0</v>
      </c>
      <c r="AG84" s="41">
        <f t="shared" si="15"/>
        <v>600000</v>
      </c>
      <c r="AH84" s="41">
        <f>SUM(AH50:AH83)</f>
        <v>2699900</v>
      </c>
      <c r="AI84" s="40">
        <f t="shared" si="13"/>
        <v>42731895</v>
      </c>
      <c r="AJ84" s="41">
        <f>SUM(AJ50:AJ83)</f>
        <v>0</v>
      </c>
      <c r="AK84" s="41">
        <f>SUM(AK50:AK83)</f>
        <v>0</v>
      </c>
      <c r="AL84" s="41">
        <f t="shared" ref="AL84:BB84" si="16">SUM(AL50:AL83)</f>
        <v>0</v>
      </c>
      <c r="AM84" s="41">
        <f t="shared" si="16"/>
        <v>21000000</v>
      </c>
      <c r="AN84" s="41">
        <f t="shared" si="16"/>
        <v>0</v>
      </c>
      <c r="AO84" s="41">
        <f t="shared" si="16"/>
        <v>0</v>
      </c>
      <c r="AP84" s="41">
        <f t="shared" si="16"/>
        <v>0</v>
      </c>
      <c r="AQ84" s="41">
        <f t="shared" si="16"/>
        <v>0</v>
      </c>
      <c r="AR84" s="41">
        <f t="shared" si="16"/>
        <v>0</v>
      </c>
      <c r="AS84" s="41">
        <f t="shared" si="16"/>
        <v>0</v>
      </c>
      <c r="AT84" s="41">
        <f t="shared" si="16"/>
        <v>0</v>
      </c>
      <c r="AU84" s="41">
        <f t="shared" si="16"/>
        <v>0</v>
      </c>
      <c r="AV84" s="41">
        <f t="shared" si="16"/>
        <v>0</v>
      </c>
      <c r="AW84" s="41">
        <f>SUM(AW50:AW83)</f>
        <v>22000</v>
      </c>
      <c r="AX84" s="41">
        <f>SUM(AX50:AX83)</f>
        <v>0</v>
      </c>
      <c r="AY84" s="41">
        <f>SUM(AY50:AY83)</f>
        <v>0</v>
      </c>
      <c r="AZ84" s="41">
        <f>SUM(AZ50:AZ83)</f>
        <v>0</v>
      </c>
      <c r="BA84" s="41">
        <f t="shared" si="16"/>
        <v>0</v>
      </c>
      <c r="BB84" s="41">
        <f t="shared" si="16"/>
        <v>0</v>
      </c>
      <c r="BC84" s="41">
        <f>SUM(BC50:BC83)</f>
        <v>0</v>
      </c>
      <c r="BD84" s="41">
        <f>SUM(BD50:BD83)</f>
        <v>0</v>
      </c>
      <c r="BE84" s="40">
        <f t="shared" si="14"/>
        <v>21022000</v>
      </c>
    </row>
    <row r="85" spans="1:57" ht="74.25" customHeight="1" x14ac:dyDescent="0.8">
      <c r="A85" s="14" t="s">
        <v>173</v>
      </c>
      <c r="B85" s="15" t="s">
        <v>118</v>
      </c>
      <c r="C85" s="41"/>
      <c r="D85" s="41"/>
      <c r="E85" s="41"/>
      <c r="F85" s="41"/>
      <c r="G85" s="41"/>
      <c r="H85" s="41"/>
      <c r="I85" s="41"/>
      <c r="J85" s="41"/>
      <c r="K85" s="41">
        <f t="shared" si="12"/>
        <v>0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0">
        <f t="shared" si="13"/>
        <v>0</v>
      </c>
      <c r="AJ85" s="41"/>
      <c r="AK85" s="41">
        <v>5048500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0">
        <f t="shared" si="14"/>
        <v>5048500</v>
      </c>
    </row>
    <row r="86" spans="1:57" ht="119.25" customHeight="1" x14ac:dyDescent="0.8">
      <c r="A86" s="14">
        <v>11100000000</v>
      </c>
      <c r="B86" s="15" t="s">
        <v>90</v>
      </c>
      <c r="C86" s="41"/>
      <c r="D86" s="41"/>
      <c r="E86" s="41"/>
      <c r="F86" s="41"/>
      <c r="G86" s="41"/>
      <c r="H86" s="41"/>
      <c r="I86" s="41"/>
      <c r="J86" s="41"/>
      <c r="K86" s="41">
        <f t="shared" si="12"/>
        <v>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0">
        <f t="shared" si="13"/>
        <v>0</v>
      </c>
      <c r="AJ86" s="41"/>
      <c r="AK86" s="41"/>
      <c r="AL86" s="41">
        <v>238000</v>
      </c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0">
        <f t="shared" si="14"/>
        <v>238000</v>
      </c>
    </row>
    <row r="87" spans="1:57" s="16" customFormat="1" ht="74.25" customHeight="1" x14ac:dyDescent="0.8">
      <c r="A87" s="14" t="s">
        <v>11</v>
      </c>
      <c r="B87" s="15" t="s">
        <v>12</v>
      </c>
      <c r="C87" s="41"/>
      <c r="D87" s="41"/>
      <c r="E87" s="41"/>
      <c r="F87" s="41"/>
      <c r="G87" s="40"/>
      <c r="H87" s="40"/>
      <c r="I87" s="40"/>
      <c r="J87" s="40"/>
      <c r="K87" s="41">
        <f t="shared" si="12"/>
        <v>0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>
        <v>2000000</v>
      </c>
      <c r="AD87" s="40">
        <f>2000000-2000000</f>
        <v>0</v>
      </c>
      <c r="AE87" s="40">
        <f>10000000-5000000</f>
        <v>5000000</v>
      </c>
      <c r="AF87" s="40">
        <f>5000000-225402.8+80000</f>
        <v>4854597.2</v>
      </c>
      <c r="AG87" s="40"/>
      <c r="AH87" s="40"/>
      <c r="AI87" s="40">
        <f t="shared" si="13"/>
        <v>11854597.199999999</v>
      </c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>
        <f t="shared" si="14"/>
        <v>0</v>
      </c>
    </row>
    <row r="88" spans="1:57" s="16" customFormat="1" ht="74.25" customHeight="1" x14ac:dyDescent="0.8">
      <c r="A88" s="14"/>
      <c r="B88" s="15" t="s">
        <v>13</v>
      </c>
      <c r="C88" s="41">
        <v>453342000</v>
      </c>
      <c r="D88" s="41"/>
      <c r="E88" s="41"/>
      <c r="F88" s="41"/>
      <c r="G88" s="40"/>
      <c r="H88" s="40"/>
      <c r="I88" s="40"/>
      <c r="J88" s="40"/>
      <c r="K88" s="41">
        <f t="shared" si="12"/>
        <v>0</v>
      </c>
      <c r="L88" s="40"/>
      <c r="M88" s="40"/>
      <c r="N88" s="40"/>
      <c r="O88" s="40"/>
      <c r="P88" s="40"/>
      <c r="Q88" s="40"/>
      <c r="R88" s="40"/>
      <c r="S88" s="40">
        <v>5500000</v>
      </c>
      <c r="T88" s="40">
        <v>800000</v>
      </c>
      <c r="U88" s="40">
        <v>6000000</v>
      </c>
      <c r="V88" s="40">
        <f>153250700+120773180</f>
        <v>274023880</v>
      </c>
      <c r="W88" s="40">
        <f>456400+3139900</f>
        <v>3596300</v>
      </c>
      <c r="X88" s="40">
        <v>4500000</v>
      </c>
      <c r="Y88" s="40">
        <v>1500000</v>
      </c>
      <c r="Z88" s="40">
        <v>4000000</v>
      </c>
      <c r="AA88" s="40"/>
      <c r="AB88" s="40"/>
      <c r="AC88" s="40"/>
      <c r="AD88" s="40"/>
      <c r="AE88" s="40"/>
      <c r="AF88" s="40"/>
      <c r="AG88" s="40"/>
      <c r="AH88" s="40"/>
      <c r="AI88" s="40">
        <f t="shared" si="13"/>
        <v>753262180</v>
      </c>
      <c r="AJ88" s="40"/>
      <c r="AK88" s="40">
        <v>1945059300</v>
      </c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>
        <f t="shared" si="14"/>
        <v>1945059300</v>
      </c>
    </row>
    <row r="89" spans="1:57" s="17" customFormat="1" ht="74.25" customHeight="1" x14ac:dyDescent="0.8">
      <c r="A89" s="14"/>
      <c r="B89" s="15" t="s">
        <v>223</v>
      </c>
      <c r="C89" s="40">
        <f t="shared" ref="C89:AH89" si="17">C25+C48+C87+C88+C84+C85+C86</f>
        <v>453342000</v>
      </c>
      <c r="D89" s="40">
        <f t="shared" si="17"/>
        <v>3982944100</v>
      </c>
      <c r="E89" s="40">
        <f t="shared" si="17"/>
        <v>2975725400</v>
      </c>
      <c r="F89" s="40">
        <f t="shared" si="17"/>
        <v>42557700</v>
      </c>
      <c r="G89" s="40">
        <f t="shared" si="17"/>
        <v>105093300</v>
      </c>
      <c r="H89" s="40">
        <f t="shared" si="17"/>
        <v>141200</v>
      </c>
      <c r="I89" s="40">
        <f t="shared" si="17"/>
        <v>141000</v>
      </c>
      <c r="J89" s="40">
        <f t="shared" si="17"/>
        <v>200</v>
      </c>
      <c r="K89" s="40">
        <f t="shared" si="17"/>
        <v>96646600</v>
      </c>
      <c r="L89" s="40">
        <f t="shared" si="17"/>
        <v>300000</v>
      </c>
      <c r="M89" s="40">
        <f t="shared" si="17"/>
        <v>12598942</v>
      </c>
      <c r="N89" s="40">
        <f t="shared" si="17"/>
        <v>4603458</v>
      </c>
      <c r="O89" s="40">
        <f t="shared" si="17"/>
        <v>20000000</v>
      </c>
      <c r="P89" s="40">
        <f t="shared" si="17"/>
        <v>32500400</v>
      </c>
      <c r="Q89" s="40">
        <f t="shared" si="17"/>
        <v>26643800</v>
      </c>
      <c r="R89" s="40">
        <f t="shared" si="17"/>
        <v>17175600</v>
      </c>
      <c r="S89" s="40">
        <f t="shared" si="17"/>
        <v>5500000</v>
      </c>
      <c r="T89" s="40">
        <f t="shared" si="17"/>
        <v>800000</v>
      </c>
      <c r="U89" s="40">
        <f t="shared" si="17"/>
        <v>6000000</v>
      </c>
      <c r="V89" s="40">
        <f t="shared" si="17"/>
        <v>274023880</v>
      </c>
      <c r="W89" s="40">
        <f t="shared" si="17"/>
        <v>3596300</v>
      </c>
      <c r="X89" s="40">
        <f t="shared" si="17"/>
        <v>4500000</v>
      </c>
      <c r="Y89" s="40">
        <f t="shared" si="17"/>
        <v>1500000</v>
      </c>
      <c r="Z89" s="40">
        <f t="shared" si="17"/>
        <v>4000000</v>
      </c>
      <c r="AA89" s="40">
        <f t="shared" si="17"/>
        <v>21500000</v>
      </c>
      <c r="AB89" s="40">
        <f t="shared" si="17"/>
        <v>60000000</v>
      </c>
      <c r="AC89" s="40">
        <f t="shared" si="17"/>
        <v>2000000</v>
      </c>
      <c r="AD89" s="40">
        <f t="shared" si="17"/>
        <v>4116000</v>
      </c>
      <c r="AE89" s="40">
        <f t="shared" si="17"/>
        <v>11000000</v>
      </c>
      <c r="AF89" s="40">
        <f t="shared" si="17"/>
        <v>6000000</v>
      </c>
      <c r="AG89" s="40">
        <f t="shared" si="17"/>
        <v>2500000</v>
      </c>
      <c r="AH89" s="40">
        <f t="shared" si="17"/>
        <v>13699900</v>
      </c>
      <c r="AI89" s="40">
        <f t="shared" si="13"/>
        <v>8094361980</v>
      </c>
      <c r="AJ89" s="40">
        <f t="shared" ref="AJ89:BD89" si="18">AJ25+AJ48+AJ87+AJ88+AJ84+AJ85+AJ86</f>
        <v>0</v>
      </c>
      <c r="AK89" s="40">
        <f t="shared" si="18"/>
        <v>1950107800</v>
      </c>
      <c r="AL89" s="40">
        <f t="shared" si="18"/>
        <v>470676</v>
      </c>
      <c r="AM89" s="40">
        <f t="shared" si="18"/>
        <v>46649271</v>
      </c>
      <c r="AN89" s="40">
        <f t="shared" si="18"/>
        <v>0</v>
      </c>
      <c r="AO89" s="40">
        <f t="shared" si="18"/>
        <v>0</v>
      </c>
      <c r="AP89" s="40">
        <f t="shared" si="18"/>
        <v>0</v>
      </c>
      <c r="AQ89" s="40">
        <f t="shared" si="18"/>
        <v>0</v>
      </c>
      <c r="AR89" s="40">
        <f t="shared" si="18"/>
        <v>0</v>
      </c>
      <c r="AS89" s="40">
        <f t="shared" si="18"/>
        <v>0</v>
      </c>
      <c r="AT89" s="40">
        <f t="shared" si="18"/>
        <v>0</v>
      </c>
      <c r="AU89" s="40">
        <f t="shared" si="18"/>
        <v>0</v>
      </c>
      <c r="AV89" s="40">
        <f t="shared" si="18"/>
        <v>0</v>
      </c>
      <c r="AW89" s="40">
        <f t="shared" si="18"/>
        <v>895000</v>
      </c>
      <c r="AX89" s="40">
        <f t="shared" si="18"/>
        <v>6250</v>
      </c>
      <c r="AY89" s="40">
        <f t="shared" si="18"/>
        <v>2504261</v>
      </c>
      <c r="AZ89" s="40">
        <f t="shared" si="18"/>
        <v>1891910</v>
      </c>
      <c r="BA89" s="40">
        <f t="shared" si="18"/>
        <v>1592400</v>
      </c>
      <c r="BB89" s="40">
        <f t="shared" si="18"/>
        <v>120100</v>
      </c>
      <c r="BC89" s="40">
        <f t="shared" si="18"/>
        <v>60000000</v>
      </c>
      <c r="BD89" s="40">
        <f t="shared" si="18"/>
        <v>3000000</v>
      </c>
      <c r="BE89" s="40">
        <f t="shared" si="14"/>
        <v>2067237668</v>
      </c>
    </row>
    <row r="90" spans="1:57" s="22" customFormat="1" ht="36" customHeight="1" x14ac:dyDescent="0.8">
      <c r="A90" s="18"/>
      <c r="B90" s="19"/>
      <c r="C90" s="19"/>
      <c r="D90" s="21"/>
      <c r="E90" s="21"/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57" s="22" customFormat="1" ht="96" customHeight="1" x14ac:dyDescent="0.8">
      <c r="A91" s="18"/>
      <c r="B91" s="19"/>
      <c r="C91" s="19"/>
      <c r="D91" s="21"/>
      <c r="E91" s="21"/>
      <c r="F91" s="2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57" s="22" customFormat="1" ht="72.75" customHeight="1" x14ac:dyDescent="1.05">
      <c r="A92" s="50"/>
      <c r="B92" s="50"/>
      <c r="C92" s="50"/>
      <c r="D92" s="21"/>
      <c r="E92" s="21"/>
      <c r="F92" s="2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57" s="26" customFormat="1" ht="66.75" customHeight="1" x14ac:dyDescent="1.05">
      <c r="A93" s="50"/>
      <c r="B93" s="50"/>
      <c r="C93" s="50"/>
      <c r="D93" s="25"/>
      <c r="E93" s="25"/>
      <c r="F93" s="25"/>
      <c r="R93" s="34"/>
      <c r="S93" s="34"/>
      <c r="T93" s="34"/>
      <c r="U93" s="34"/>
      <c r="V93" s="34"/>
      <c r="W93" s="34"/>
      <c r="X93" s="34"/>
      <c r="Y93" s="34"/>
      <c r="Z93" s="34"/>
      <c r="AB93" s="34"/>
      <c r="AC93" s="34"/>
      <c r="AD93" s="35"/>
      <c r="AH93" s="35"/>
      <c r="AK93" s="34"/>
      <c r="AL93" s="34"/>
      <c r="AM93" s="34"/>
      <c r="AZ93" s="50" t="s">
        <v>240</v>
      </c>
      <c r="BA93" s="50"/>
      <c r="BB93" s="50"/>
      <c r="BD93" s="51" t="s">
        <v>234</v>
      </c>
      <c r="BE93" s="51"/>
    </row>
    <row r="94" spans="1:57" ht="59.25" x14ac:dyDescent="0.35">
      <c r="A94" s="23"/>
      <c r="B94" s="23"/>
      <c r="C94" s="23"/>
      <c r="D94" s="24"/>
      <c r="E94" s="24"/>
      <c r="F94" s="24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4"/>
      <c r="AB94" s="24"/>
      <c r="AC94" s="24"/>
      <c r="AD94" s="24"/>
      <c r="AE94" s="24"/>
      <c r="AF94" s="24"/>
      <c r="AG94" s="24"/>
      <c r="AH94" s="24"/>
      <c r="AI94" s="20"/>
    </row>
    <row r="95" spans="1:57" ht="25.5" x14ac:dyDescent="0.35">
      <c r="A95" s="23"/>
      <c r="B95" s="23"/>
      <c r="C95" s="23"/>
      <c r="D95" s="24"/>
      <c r="E95" s="24"/>
      <c r="F95" s="24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4"/>
      <c r="AB95" s="24"/>
      <c r="AC95" s="24"/>
      <c r="AD95" s="24"/>
      <c r="AE95" s="24"/>
      <c r="AF95" s="24"/>
      <c r="AG95" s="24"/>
      <c r="AH95" s="24"/>
      <c r="AI95" s="28"/>
    </row>
    <row r="96" spans="1:57" ht="59.25" x14ac:dyDescent="0.35">
      <c r="A96" s="29"/>
      <c r="B96" s="29"/>
      <c r="C96" s="29"/>
      <c r="D96" s="24"/>
      <c r="E96" s="24"/>
      <c r="F96" s="24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24"/>
      <c r="AI96" s="20"/>
    </row>
    <row r="97" spans="1:35" ht="59.25" x14ac:dyDescent="0.35">
      <c r="A97" s="29"/>
      <c r="B97" s="29"/>
      <c r="C97" s="29"/>
      <c r="D97" s="24"/>
      <c r="E97" s="24"/>
      <c r="F97" s="24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I97" s="20"/>
    </row>
    <row r="98" spans="1:35" ht="59.25" x14ac:dyDescent="0.35">
      <c r="A98" s="29"/>
      <c r="B98" s="29"/>
      <c r="C98" s="29"/>
      <c r="D98" s="24"/>
      <c r="E98" s="24"/>
      <c r="F98" s="24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I98" s="20"/>
    </row>
    <row r="99" spans="1:35" ht="59.25" x14ac:dyDescent="0.35">
      <c r="A99" s="29"/>
      <c r="B99" s="29"/>
      <c r="C99" s="29"/>
      <c r="D99" s="24"/>
      <c r="E99" s="24"/>
      <c r="F99" s="24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I99" s="20"/>
    </row>
    <row r="100" spans="1:35" ht="25.5" x14ac:dyDescent="0.35">
      <c r="A100" s="29"/>
      <c r="B100" s="29"/>
      <c r="C100" s="29"/>
      <c r="D100" s="24"/>
      <c r="E100" s="24"/>
      <c r="F100" s="24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I100" s="31"/>
    </row>
    <row r="101" spans="1:35" ht="25.5" x14ac:dyDescent="0.35">
      <c r="A101" s="29"/>
      <c r="B101" s="29"/>
      <c r="C101" s="29"/>
      <c r="D101" s="24"/>
      <c r="E101" s="24"/>
      <c r="F101" s="24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I101" s="31"/>
    </row>
    <row r="102" spans="1:35" ht="25.5" x14ac:dyDescent="0.35">
      <c r="A102" s="29"/>
      <c r="B102" s="29"/>
      <c r="C102" s="2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I102" s="31"/>
    </row>
    <row r="103" spans="1:35" ht="25.5" x14ac:dyDescent="0.35">
      <c r="A103" s="29"/>
      <c r="B103" s="29"/>
      <c r="C103" s="2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I103" s="31"/>
    </row>
    <row r="104" spans="1:35" ht="25.5" x14ac:dyDescent="0.35">
      <c r="A104" s="29"/>
      <c r="B104" s="29"/>
      <c r="C104" s="29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I104" s="31"/>
    </row>
    <row r="105" spans="1:35" ht="25.5" x14ac:dyDescent="0.35">
      <c r="A105" s="29"/>
      <c r="B105" s="29"/>
      <c r="C105" s="29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I105" s="31"/>
    </row>
    <row r="106" spans="1:35" ht="25.5" x14ac:dyDescent="0.35">
      <c r="A106" s="29"/>
      <c r="B106" s="29"/>
      <c r="C106" s="29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I106" s="31"/>
    </row>
    <row r="107" spans="1:35" ht="25.5" x14ac:dyDescent="0.35">
      <c r="A107" s="29"/>
      <c r="B107" s="29"/>
      <c r="C107" s="29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I107" s="31"/>
    </row>
    <row r="108" spans="1:35" ht="25.5" x14ac:dyDescent="0.35">
      <c r="A108" s="29"/>
      <c r="B108" s="29"/>
      <c r="C108" s="29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I108" s="31"/>
    </row>
    <row r="109" spans="1:35" ht="25.5" x14ac:dyDescent="0.35">
      <c r="A109" s="29"/>
      <c r="B109" s="29"/>
      <c r="C109" s="29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I109" s="31"/>
    </row>
    <row r="110" spans="1:35" ht="25.5" x14ac:dyDescent="0.35">
      <c r="A110" s="29"/>
      <c r="B110" s="29"/>
      <c r="C110" s="29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I110" s="31"/>
    </row>
    <row r="111" spans="1:35" ht="25.5" x14ac:dyDescent="0.35">
      <c r="A111" s="29"/>
      <c r="B111" s="29"/>
      <c r="C111" s="29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35" ht="25.5" x14ac:dyDescent="0.35">
      <c r="A112" s="29"/>
      <c r="B112" s="29"/>
      <c r="C112" s="29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25.5" x14ac:dyDescent="0.35">
      <c r="A113" s="29"/>
      <c r="B113" s="29"/>
      <c r="C113" s="29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25.5" x14ac:dyDescent="0.35">
      <c r="A114" s="29"/>
      <c r="B114" s="29"/>
      <c r="C114" s="29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25.5" x14ac:dyDescent="0.35">
      <c r="A115" s="29"/>
      <c r="B115" s="29"/>
      <c r="C115" s="29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25.5" x14ac:dyDescent="0.35">
      <c r="A116" s="29"/>
      <c r="B116" s="29"/>
      <c r="C116" s="29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25.5" x14ac:dyDescent="0.35">
      <c r="A117" s="29"/>
      <c r="B117" s="29"/>
      <c r="C117" s="29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25.5" x14ac:dyDescent="0.35">
      <c r="A118" s="29"/>
      <c r="B118" s="29"/>
      <c r="C118" s="29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25.5" x14ac:dyDescent="0.35">
      <c r="A119" s="29"/>
      <c r="B119" s="29"/>
      <c r="C119" s="29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25.5" x14ac:dyDescent="0.35">
      <c r="A120" s="29"/>
      <c r="B120" s="29"/>
      <c r="C120" s="29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25.5" x14ac:dyDescent="0.35">
      <c r="A121" s="29"/>
      <c r="B121" s="29"/>
      <c r="C121" s="29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25.5" x14ac:dyDescent="0.35">
      <c r="A122" s="29"/>
      <c r="B122" s="29"/>
      <c r="C122" s="29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25.5" x14ac:dyDescent="0.35">
      <c r="A123" s="29"/>
      <c r="B123" s="29"/>
      <c r="C123" s="29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25.5" x14ac:dyDescent="0.35">
      <c r="A124" s="29"/>
      <c r="B124" s="29"/>
      <c r="C124" s="29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25.5" x14ac:dyDescent="0.35">
      <c r="A125" s="29"/>
      <c r="B125" s="29"/>
      <c r="C125" s="29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25.5" x14ac:dyDescent="0.35">
      <c r="A126" s="29"/>
      <c r="B126" s="29"/>
      <c r="C126" s="29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25.5" x14ac:dyDescent="0.35">
      <c r="A127" s="29"/>
      <c r="B127" s="29"/>
      <c r="C127" s="29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25.5" x14ac:dyDescent="0.35">
      <c r="A128" s="29"/>
      <c r="B128" s="29"/>
      <c r="C128" s="29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7:26" x14ac:dyDescent="0.2"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7:26" x14ac:dyDescent="0.2"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7:26" x14ac:dyDescent="0.2"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7:26" x14ac:dyDescent="0.2"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7:26" x14ac:dyDescent="0.2"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7:26" x14ac:dyDescent="0.2"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7:26" x14ac:dyDescent="0.2"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7:26" x14ac:dyDescent="0.2"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7:26" x14ac:dyDescent="0.2"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7:26" x14ac:dyDescent="0.2"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7:26" x14ac:dyDescent="0.2"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7:26" x14ac:dyDescent="0.2"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7:26" x14ac:dyDescent="0.2"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7:26" x14ac:dyDescent="0.2"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7:26" x14ac:dyDescent="0.2"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7:26" x14ac:dyDescent="0.2"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7:26" x14ac:dyDescent="0.2"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7:26" x14ac:dyDescent="0.2"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7:26" x14ac:dyDescent="0.2"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7:26" x14ac:dyDescent="0.2"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7:26" x14ac:dyDescent="0.2"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7:26" x14ac:dyDescent="0.2"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7:26" x14ac:dyDescent="0.2"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7:26" x14ac:dyDescent="0.2"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7:26" x14ac:dyDescent="0.2"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7:26" x14ac:dyDescent="0.2"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7:26" x14ac:dyDescent="0.2"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7:26" x14ac:dyDescent="0.2"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7:26" x14ac:dyDescent="0.2"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7:26" x14ac:dyDescent="0.2"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7:26" x14ac:dyDescent="0.2"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7:26" x14ac:dyDescent="0.2"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7:26" x14ac:dyDescent="0.2"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7:26" x14ac:dyDescent="0.2"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7:26" x14ac:dyDescent="0.2"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7:26" x14ac:dyDescent="0.2"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7:26" x14ac:dyDescent="0.2"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7:26" x14ac:dyDescent="0.2"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7:26" x14ac:dyDescent="0.2"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7:26" x14ac:dyDescent="0.2"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7:26" x14ac:dyDescent="0.2"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7:26" x14ac:dyDescent="0.2"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7:26" x14ac:dyDescent="0.2"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7:26" x14ac:dyDescent="0.2"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7:26" x14ac:dyDescent="0.2"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7:26" x14ac:dyDescent="0.2"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7:26" x14ac:dyDescent="0.2"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7:26" x14ac:dyDescent="0.2"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7:26" x14ac:dyDescent="0.2"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7:26" x14ac:dyDescent="0.2"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7:26" x14ac:dyDescent="0.2"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7:26" x14ac:dyDescent="0.2"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7:26" x14ac:dyDescent="0.2"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7:26" x14ac:dyDescent="0.2"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7:26" x14ac:dyDescent="0.2"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7:26" x14ac:dyDescent="0.2"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7:26" x14ac:dyDescent="0.2"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7:26" x14ac:dyDescent="0.2"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7:26" x14ac:dyDescent="0.2"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7:26" x14ac:dyDescent="0.2"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7:26" x14ac:dyDescent="0.2"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7:26" x14ac:dyDescent="0.2"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7:26" x14ac:dyDescent="0.2"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7:26" x14ac:dyDescent="0.2"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7:26" x14ac:dyDescent="0.2"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7:26" x14ac:dyDescent="0.2"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7:26" x14ac:dyDescent="0.2"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7:26" x14ac:dyDescent="0.2"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7:26" x14ac:dyDescent="0.2"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7:26" x14ac:dyDescent="0.2"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7:26" x14ac:dyDescent="0.2"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7:26" x14ac:dyDescent="0.2"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7:26" x14ac:dyDescent="0.2"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7:26" x14ac:dyDescent="0.2"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7:26" x14ac:dyDescent="0.2"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7:26" x14ac:dyDescent="0.2"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7:26" x14ac:dyDescent="0.2"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7:26" x14ac:dyDescent="0.2"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7:26" x14ac:dyDescent="0.2"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7:26" x14ac:dyDescent="0.2"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7:26" x14ac:dyDescent="0.2"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7:26" x14ac:dyDescent="0.2"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7:26" x14ac:dyDescent="0.2"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7:26" x14ac:dyDescent="0.2"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7:26" x14ac:dyDescent="0.2"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7:26" x14ac:dyDescent="0.2"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7:26" x14ac:dyDescent="0.2"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7:26" x14ac:dyDescent="0.2"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7:26" x14ac:dyDescent="0.2"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7:26" x14ac:dyDescent="0.2"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7:26" x14ac:dyDescent="0.2"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7:26" x14ac:dyDescent="0.2"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7:26" x14ac:dyDescent="0.2"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7:26" x14ac:dyDescent="0.2"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7:26" x14ac:dyDescent="0.2"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7:26" x14ac:dyDescent="0.2"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7:26" x14ac:dyDescent="0.2"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7:26" x14ac:dyDescent="0.2"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7:26" x14ac:dyDescent="0.2"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7:26" x14ac:dyDescent="0.2"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7:26" x14ac:dyDescent="0.2"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7:26" x14ac:dyDescent="0.2"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7:26" x14ac:dyDescent="0.2"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7:26" x14ac:dyDescent="0.2"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7:26" x14ac:dyDescent="0.2"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7:26" x14ac:dyDescent="0.2"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7:26" x14ac:dyDescent="0.2"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7:26" x14ac:dyDescent="0.2"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7:26" x14ac:dyDescent="0.2"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7:26" x14ac:dyDescent="0.2"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7:26" x14ac:dyDescent="0.2"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7:26" x14ac:dyDescent="0.2"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7:26" x14ac:dyDescent="0.2"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7:26" x14ac:dyDescent="0.2"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7:26" x14ac:dyDescent="0.2"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7:26" x14ac:dyDescent="0.2"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7:26" x14ac:dyDescent="0.2"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7:26" x14ac:dyDescent="0.2"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7:26" x14ac:dyDescent="0.2"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7:26" x14ac:dyDescent="0.2"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7:26" x14ac:dyDescent="0.2"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7:26" x14ac:dyDescent="0.2"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7:26" x14ac:dyDescent="0.2"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7:26" x14ac:dyDescent="0.2"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7:26" x14ac:dyDescent="0.2"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7:26" x14ac:dyDescent="0.2"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7:26" x14ac:dyDescent="0.2"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7:26" x14ac:dyDescent="0.2"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7:26" x14ac:dyDescent="0.2"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7:26" x14ac:dyDescent="0.2"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7:26" x14ac:dyDescent="0.2"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7:26" x14ac:dyDescent="0.2"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7:26" x14ac:dyDescent="0.2"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7:26" x14ac:dyDescent="0.2"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7:26" x14ac:dyDescent="0.2"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</sheetData>
  <sheetProtection selectLockedCells="1" selectUnlockedCells="1"/>
  <mergeCells count="106">
    <mergeCell ref="S7:X7"/>
    <mergeCell ref="Y9:Y11"/>
    <mergeCell ref="S9:S11"/>
    <mergeCell ref="T9:T11"/>
    <mergeCell ref="V8:W8"/>
    <mergeCell ref="X9:X11"/>
    <mergeCell ref="V9:V11"/>
    <mergeCell ref="AZ93:BB93"/>
    <mergeCell ref="AE6:AH6"/>
    <mergeCell ref="AE9:AE11"/>
    <mergeCell ref="AF9:AF11"/>
    <mergeCell ref="BA9:BA11"/>
    <mergeCell ref="AX9:AX11"/>
    <mergeCell ref="BB9:BB11"/>
    <mergeCell ref="AZ9:AZ11"/>
    <mergeCell ref="AO9:AO11"/>
    <mergeCell ref="AW6:AY6"/>
    <mergeCell ref="AK9:AK11"/>
    <mergeCell ref="AL9:AL11"/>
    <mergeCell ref="AM9:AM11"/>
    <mergeCell ref="AK7:AL7"/>
    <mergeCell ref="AY9:AY11"/>
    <mergeCell ref="AK5:AM5"/>
    <mergeCell ref="BC9:BC11"/>
    <mergeCell ref="BD9:BD11"/>
    <mergeCell ref="AW9:AW11"/>
    <mergeCell ref="U9:U11"/>
    <mergeCell ref="BE5:BE11"/>
    <mergeCell ref="AN6:AP6"/>
    <mergeCell ref="AQ6:AV6"/>
    <mergeCell ref="AN7:AP7"/>
    <mergeCell ref="AQ7:AV7"/>
    <mergeCell ref="AT9:AT11"/>
    <mergeCell ref="AU9:AU11"/>
    <mergeCell ref="AN9:AN11"/>
    <mergeCell ref="AN8:AP8"/>
    <mergeCell ref="AB9:AB11"/>
    <mergeCell ref="AD9:AD11"/>
    <mergeCell ref="AH9:AH11"/>
    <mergeCell ref="AG9:AG11"/>
    <mergeCell ref="AC9:AC11"/>
    <mergeCell ref="AA9:AA11"/>
    <mergeCell ref="Y5:Z5"/>
    <mergeCell ref="S5:X5"/>
    <mergeCell ref="AA5:AC5"/>
    <mergeCell ref="AA6:AC6"/>
    <mergeCell ref="Y6:Z6"/>
    <mergeCell ref="V6:X6"/>
    <mergeCell ref="S6:U6"/>
    <mergeCell ref="AW5:AY5"/>
    <mergeCell ref="AQ8:AV8"/>
    <mergeCell ref="AQ9:AQ11"/>
    <mergeCell ref="AV9:AV11"/>
    <mergeCell ref="AR9:AR11"/>
    <mergeCell ref="AS9:AS11"/>
    <mergeCell ref="AP9:AP11"/>
    <mergeCell ref="AJ9:AJ11"/>
    <mergeCell ref="Z9:Z11"/>
    <mergeCell ref="AI5:AI11"/>
    <mergeCell ref="Y7:Z7"/>
    <mergeCell ref="P10:P11"/>
    <mergeCell ref="L10:L11"/>
    <mergeCell ref="M10:M11"/>
    <mergeCell ref="N10:N11"/>
    <mergeCell ref="O10:O11"/>
    <mergeCell ref="Q10:Q11"/>
    <mergeCell ref="K5:R5"/>
    <mergeCell ref="G5:J5"/>
    <mergeCell ref="G6:J6"/>
    <mergeCell ref="K8:Q8"/>
    <mergeCell ref="L9:Q9"/>
    <mergeCell ref="K9:K11"/>
    <mergeCell ref="K6:P6"/>
    <mergeCell ref="K7:Q7"/>
    <mergeCell ref="G9:G11"/>
    <mergeCell ref="R9:R11"/>
    <mergeCell ref="H9:H11"/>
    <mergeCell ref="H7:J7"/>
    <mergeCell ref="I10:I11"/>
    <mergeCell ref="I9:J9"/>
    <mergeCell ref="H8:J8"/>
    <mergeCell ref="J10:J11"/>
    <mergeCell ref="A93:C93"/>
    <mergeCell ref="A92:C92"/>
    <mergeCell ref="BD93:BE93"/>
    <mergeCell ref="AZ8:BD8"/>
    <mergeCell ref="AW8:AY8"/>
    <mergeCell ref="W9:W11"/>
    <mergeCell ref="A5:A11"/>
    <mergeCell ref="B5:B11"/>
    <mergeCell ref="D9:D11"/>
    <mergeCell ref="C9:C11"/>
    <mergeCell ref="AD5:AH5"/>
    <mergeCell ref="BA6:BD6"/>
    <mergeCell ref="AZ7:BD7"/>
    <mergeCell ref="AW7:AY7"/>
    <mergeCell ref="AB7:AC7"/>
    <mergeCell ref="AD7:AH7"/>
    <mergeCell ref="AK6:AL6"/>
    <mergeCell ref="AQ5:AV5"/>
    <mergeCell ref="AZ5:BD5"/>
    <mergeCell ref="D7:F7"/>
    <mergeCell ref="C6:F6"/>
    <mergeCell ref="D5:F5"/>
    <mergeCell ref="E9:E11"/>
    <mergeCell ref="F9:F11"/>
  </mergeCells>
  <phoneticPr fontId="0" type="noConversion"/>
  <printOptions horizontalCentered="1"/>
  <pageMargins left="0.98425196850393704" right="0.39370078740157483" top="0.78740157480314965" bottom="1.1811023622047245" header="0.39370078740157483" footer="0.51181102362204722"/>
  <pageSetup paperSize="9" scale="10" firstPageNumber="0" orientation="portrait" horizontalDpi="300" verticalDpi="300" r:id="rId1"/>
  <headerFooter differentFirst="1" alignWithMargins="0">
    <oddHeader>&amp;C&amp;"Times New Roman,обычный"&amp;54&amp;P</oddHeader>
  </headerFooter>
  <colBreaks count="5" manualBreakCount="5">
    <brk id="10" max="91" man="1"/>
    <brk id="18" max="91" man="1"/>
    <brk id="29" max="91" man="1"/>
    <brk id="36" max="91" man="1"/>
    <brk id="51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2017-03-24T06:50:40Z</cp:lastPrinted>
  <dcterms:created xsi:type="dcterms:W3CDTF">2015-09-22T09:14:37Z</dcterms:created>
  <dcterms:modified xsi:type="dcterms:W3CDTF">2017-03-27T09:16:49Z</dcterms:modified>
</cp:coreProperties>
</file>