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НА сайт\Рішення 2017\Рішення 14.07\188\"/>
    </mc:Choice>
  </mc:AlternateContent>
  <bookViews>
    <workbookView xWindow="0" yWindow="0" windowWidth="16380" windowHeight="8190" tabRatio="612"/>
  </bookViews>
  <sheets>
    <sheet name="Дод 4" sheetId="5" r:id="rId1"/>
  </sheets>
  <definedNames>
    <definedName name="_xlnm.Print_Titles" localSheetId="0">'Дод 4'!$A:$B,'Дод 4'!$5:$11</definedName>
    <definedName name="_xlnm.Print_Area" localSheetId="0">'Дод 4'!$A$1:$BW$92</definedName>
  </definedNames>
  <calcPr calcId="152511" fullCalcOnLoad="1"/>
</workbook>
</file>

<file path=xl/calcChain.xml><?xml version="1.0" encoding="utf-8"?>
<calcChain xmlns="http://schemas.openxmlformats.org/spreadsheetml/2006/main">
  <c r="X31" i="5" l="1"/>
  <c r="J87" i="5"/>
  <c r="J35" i="5"/>
  <c r="J24" i="5"/>
  <c r="J23" i="5"/>
  <c r="J22" i="5"/>
  <c r="J21" i="5"/>
  <c r="AK31" i="5"/>
  <c r="AK43" i="5"/>
  <c r="E12" i="5"/>
  <c r="F12" i="5"/>
  <c r="T12" i="5"/>
  <c r="P12" i="5"/>
  <c r="X12" i="5"/>
  <c r="AR12" i="5"/>
  <c r="X62" i="5"/>
  <c r="X60" i="5"/>
  <c r="X52" i="5"/>
  <c r="X50" i="5"/>
  <c r="X84" i="5" s="1"/>
  <c r="X45" i="5"/>
  <c r="X44" i="5"/>
  <c r="X42" i="5"/>
  <c r="X41" i="5"/>
  <c r="X40" i="5"/>
  <c r="X39" i="5"/>
  <c r="X38" i="5"/>
  <c r="X37" i="5"/>
  <c r="X36" i="5"/>
  <c r="X35" i="5"/>
  <c r="X34" i="5"/>
  <c r="X29" i="5"/>
  <c r="X27" i="5"/>
  <c r="X23" i="5"/>
  <c r="X22" i="5"/>
  <c r="X21" i="5"/>
  <c r="X20" i="5"/>
  <c r="X19" i="5"/>
  <c r="X18" i="5"/>
  <c r="X17" i="5"/>
  <c r="X16" i="5"/>
  <c r="X15" i="5"/>
  <c r="X14" i="5"/>
  <c r="X13" i="5"/>
  <c r="F47" i="5"/>
  <c r="F46" i="5"/>
  <c r="F45" i="5"/>
  <c r="F44" i="5"/>
  <c r="F43" i="5"/>
  <c r="F42" i="5"/>
  <c r="F41" i="5"/>
  <c r="F40" i="5"/>
  <c r="F39" i="5"/>
  <c r="F38" i="5"/>
  <c r="F37" i="5"/>
  <c r="F36" i="5"/>
  <c r="F35" i="5"/>
  <c r="F34" i="5"/>
  <c r="F33" i="5"/>
  <c r="F32" i="5"/>
  <c r="F31" i="5"/>
  <c r="F30" i="5"/>
  <c r="F29" i="5"/>
  <c r="F28" i="5"/>
  <c r="F27" i="5"/>
  <c r="F26" i="5"/>
  <c r="F24" i="5"/>
  <c r="F23" i="5"/>
  <c r="F21" i="5"/>
  <c r="F20" i="5"/>
  <c r="F19" i="5"/>
  <c r="F18" i="5"/>
  <c r="F17" i="5"/>
  <c r="F16" i="5"/>
  <c r="F15" i="5"/>
  <c r="F14" i="5"/>
  <c r="F13" i="5"/>
  <c r="P83" i="5"/>
  <c r="AR83" i="5" s="1"/>
  <c r="P82" i="5"/>
  <c r="AR82" i="5" s="1"/>
  <c r="P88" i="5"/>
  <c r="AD88" i="5"/>
  <c r="AE88" i="5"/>
  <c r="AF88" i="5"/>
  <c r="AG88" i="5"/>
  <c r="AI88" i="5"/>
  <c r="AR88" i="5"/>
  <c r="E13" i="5"/>
  <c r="I13" i="5"/>
  <c r="T13" i="5"/>
  <c r="P13" i="5"/>
  <c r="AK13" i="5"/>
  <c r="AR13" i="5"/>
  <c r="E14" i="5"/>
  <c r="T14" i="5"/>
  <c r="P14" i="5" s="1"/>
  <c r="AK14" i="5"/>
  <c r="E15" i="5"/>
  <c r="G15" i="5"/>
  <c r="G25" i="5" s="1"/>
  <c r="G89" i="5" s="1"/>
  <c r="T15" i="5"/>
  <c r="P15" i="5"/>
  <c r="AK15" i="5"/>
  <c r="E16" i="5"/>
  <c r="E25" i="5" s="1"/>
  <c r="E89" i="5" s="1"/>
  <c r="G16" i="5"/>
  <c r="T16" i="5"/>
  <c r="P16" i="5" s="1"/>
  <c r="Z16" i="5"/>
  <c r="E17" i="5"/>
  <c r="T17" i="5"/>
  <c r="P17" i="5"/>
  <c r="AR17" i="5" s="1"/>
  <c r="E18" i="5"/>
  <c r="T18" i="5"/>
  <c r="P18" i="5" s="1"/>
  <c r="AR18" i="5"/>
  <c r="E19" i="5"/>
  <c r="T19" i="5"/>
  <c r="P19" i="5" s="1"/>
  <c r="E20" i="5"/>
  <c r="G20" i="5"/>
  <c r="T20" i="5"/>
  <c r="AR20" i="5" s="1"/>
  <c r="P20" i="5"/>
  <c r="E21" i="5"/>
  <c r="T21" i="5"/>
  <c r="P21" i="5" s="1"/>
  <c r="AR21" i="5"/>
  <c r="E23" i="5"/>
  <c r="G23" i="5"/>
  <c r="P23" i="5"/>
  <c r="AR23" i="5"/>
  <c r="E24" i="5"/>
  <c r="P24" i="5"/>
  <c r="AR24" i="5" s="1"/>
  <c r="E22" i="5"/>
  <c r="T22" i="5"/>
  <c r="E26" i="5"/>
  <c r="P26" i="5"/>
  <c r="AK26" i="5"/>
  <c r="E27" i="5"/>
  <c r="G27" i="5"/>
  <c r="T27" i="5"/>
  <c r="AM27" i="5"/>
  <c r="E28" i="5"/>
  <c r="P28" i="5"/>
  <c r="AK28" i="5"/>
  <c r="AM28" i="5"/>
  <c r="AR28" i="5" s="1"/>
  <c r="AN28" i="5"/>
  <c r="AQ28" i="5"/>
  <c r="AQ48" i="5" s="1"/>
  <c r="E29" i="5"/>
  <c r="G29" i="5"/>
  <c r="P29" i="5"/>
  <c r="Y29" i="5"/>
  <c r="AK29" i="5"/>
  <c r="AM29" i="5"/>
  <c r="E30" i="5"/>
  <c r="P30" i="5"/>
  <c r="AK30" i="5"/>
  <c r="AM30" i="5"/>
  <c r="AR30" i="5" s="1"/>
  <c r="E31" i="5"/>
  <c r="T31" i="5"/>
  <c r="AM31" i="5"/>
  <c r="E32" i="5"/>
  <c r="P32" i="5"/>
  <c r="AK32" i="5"/>
  <c r="AM32" i="5"/>
  <c r="AR32" i="5" s="1"/>
  <c r="E33" i="5"/>
  <c r="P33" i="5"/>
  <c r="AK33" i="5"/>
  <c r="AM33" i="5"/>
  <c r="E34" i="5"/>
  <c r="G34" i="5"/>
  <c r="T34" i="5"/>
  <c r="P34" i="5"/>
  <c r="AR34" i="5" s="1"/>
  <c r="AK34" i="5"/>
  <c r="AM34" i="5"/>
  <c r="E35" i="5"/>
  <c r="G35" i="5"/>
  <c r="T35" i="5"/>
  <c r="P35" i="5"/>
  <c r="AK35" i="5"/>
  <c r="AM35" i="5"/>
  <c r="E36" i="5"/>
  <c r="T36" i="5"/>
  <c r="P36" i="5"/>
  <c r="AM36" i="5"/>
  <c r="AN36" i="5"/>
  <c r="AO36" i="5"/>
  <c r="E37" i="5"/>
  <c r="T37" i="5"/>
  <c r="AK37" i="5"/>
  <c r="AM37" i="5"/>
  <c r="E38" i="5"/>
  <c r="T38" i="5"/>
  <c r="AK38" i="5"/>
  <c r="AM38" i="5"/>
  <c r="E39" i="5"/>
  <c r="G39" i="5"/>
  <c r="T39" i="5"/>
  <c r="P39" i="5" s="1"/>
  <c r="AJ39" i="5"/>
  <c r="AJ48" i="5" s="1"/>
  <c r="AJ89" i="5" s="1"/>
  <c r="AK39" i="5"/>
  <c r="AM39" i="5"/>
  <c r="E40" i="5"/>
  <c r="G40" i="5"/>
  <c r="K40" i="5"/>
  <c r="K48" i="5" s="1"/>
  <c r="P40" i="5"/>
  <c r="AK40" i="5"/>
  <c r="AM40" i="5"/>
  <c r="AN40" i="5"/>
  <c r="AN48" i="5" s="1"/>
  <c r="E41" i="5"/>
  <c r="G41" i="5"/>
  <c r="P41" i="5"/>
  <c r="AR41" i="5" s="1"/>
  <c r="AK41" i="5"/>
  <c r="AM41" i="5"/>
  <c r="E42" i="5"/>
  <c r="T42" i="5"/>
  <c r="AJ42" i="5"/>
  <c r="AM42" i="5"/>
  <c r="AO42" i="5"/>
  <c r="E43" i="5"/>
  <c r="P43" i="5"/>
  <c r="AM43" i="5"/>
  <c r="AM48" i="5" s="1"/>
  <c r="E44" i="5"/>
  <c r="T44" i="5"/>
  <c r="P44" i="5"/>
  <c r="AM44" i="5"/>
  <c r="E45" i="5"/>
  <c r="T45" i="5"/>
  <c r="AK45" i="5"/>
  <c r="AM45" i="5"/>
  <c r="E46" i="5"/>
  <c r="P46" i="5"/>
  <c r="AK46" i="5"/>
  <c r="AM46" i="5"/>
  <c r="AR46" i="5"/>
  <c r="E47" i="5"/>
  <c r="P47" i="5"/>
  <c r="Y47" i="5"/>
  <c r="Y48" i="5" s="1"/>
  <c r="AM47" i="5"/>
  <c r="AO47" i="5"/>
  <c r="AO48" i="5" s="1"/>
  <c r="AQ47" i="5"/>
  <c r="T50" i="5"/>
  <c r="AK50" i="5"/>
  <c r="T52" i="5"/>
  <c r="P52" i="5" s="1"/>
  <c r="T60" i="5"/>
  <c r="P60" i="5"/>
  <c r="AQ60" i="5"/>
  <c r="T62" i="5"/>
  <c r="P62" i="5" s="1"/>
  <c r="P68" i="5"/>
  <c r="AR68" i="5"/>
  <c r="P72" i="5"/>
  <c r="AR72" i="5"/>
  <c r="P75" i="5"/>
  <c r="AR75" i="5"/>
  <c r="P54" i="5"/>
  <c r="AR54" i="5"/>
  <c r="P66" i="5"/>
  <c r="AR66" i="5"/>
  <c r="P70" i="5"/>
  <c r="AR70" i="5"/>
  <c r="P51" i="5"/>
  <c r="AR51" i="5"/>
  <c r="P53" i="5"/>
  <c r="AR53" i="5"/>
  <c r="P55" i="5"/>
  <c r="AR55" i="5"/>
  <c r="P56" i="5"/>
  <c r="AR56" i="5"/>
  <c r="P57" i="5"/>
  <c r="AR57" i="5"/>
  <c r="P58" i="5"/>
  <c r="AR58" i="5"/>
  <c r="P59" i="5"/>
  <c r="AK59" i="5"/>
  <c r="AR59" i="5" s="1"/>
  <c r="P61" i="5"/>
  <c r="AR61" i="5" s="1"/>
  <c r="P63" i="5"/>
  <c r="AR63" i="5" s="1"/>
  <c r="P64" i="5"/>
  <c r="AR64" i="5" s="1"/>
  <c r="P65" i="5"/>
  <c r="AR65" i="5" s="1"/>
  <c r="I67" i="5"/>
  <c r="I84" i="5" s="1"/>
  <c r="P67" i="5"/>
  <c r="AR67" i="5"/>
  <c r="P69" i="5"/>
  <c r="AR69" i="5"/>
  <c r="P71" i="5"/>
  <c r="AR71" i="5"/>
  <c r="P73" i="5"/>
  <c r="AR73" i="5"/>
  <c r="P74" i="5"/>
  <c r="AR74" i="5"/>
  <c r="P76" i="5"/>
  <c r="AQ76" i="5"/>
  <c r="AR76" i="5" s="1"/>
  <c r="P77" i="5"/>
  <c r="AR77" i="5" s="1"/>
  <c r="P78" i="5"/>
  <c r="AR78" i="5" s="1"/>
  <c r="P79" i="5"/>
  <c r="AR79" i="5" s="1"/>
  <c r="P80" i="5"/>
  <c r="AR80" i="5" s="1"/>
  <c r="P81" i="5"/>
  <c r="AR81" i="5" s="1"/>
  <c r="P87" i="5"/>
  <c r="Z87" i="5"/>
  <c r="AA87" i="5"/>
  <c r="AM87" i="5"/>
  <c r="AR87" i="5" s="1"/>
  <c r="AN87" i="5"/>
  <c r="AO87" i="5"/>
  <c r="P85" i="5"/>
  <c r="AR85" i="5"/>
  <c r="P86" i="5"/>
  <c r="AR86" i="5"/>
  <c r="AQ25" i="5"/>
  <c r="P49" i="5"/>
  <c r="AR49" i="5" s="1"/>
  <c r="Q25" i="5"/>
  <c r="R25" i="5"/>
  <c r="S25" i="5"/>
  <c r="T25" i="5"/>
  <c r="U25" i="5"/>
  <c r="W25" i="5"/>
  <c r="W89" i="5" s="1"/>
  <c r="V25" i="5"/>
  <c r="Q48" i="5"/>
  <c r="R48" i="5"/>
  <c r="S48" i="5"/>
  <c r="U48" i="5"/>
  <c r="W48" i="5"/>
  <c r="V48" i="5"/>
  <c r="BT25" i="5"/>
  <c r="BM25" i="5"/>
  <c r="BL25" i="5"/>
  <c r="BW12" i="5"/>
  <c r="AG25" i="5"/>
  <c r="AG89" i="5" s="1"/>
  <c r="AG48" i="5"/>
  <c r="AG84" i="5"/>
  <c r="AE25" i="5"/>
  <c r="AE48" i="5"/>
  <c r="AE84" i="5"/>
  <c r="AF25" i="5"/>
  <c r="AF89" i="5" s="1"/>
  <c r="AF48" i="5"/>
  <c r="AF84" i="5"/>
  <c r="C25" i="5"/>
  <c r="C48" i="5"/>
  <c r="C84" i="5"/>
  <c r="D25" i="5"/>
  <c r="D89" i="5" s="1"/>
  <c r="D48" i="5"/>
  <c r="D84" i="5"/>
  <c r="E48" i="5"/>
  <c r="E84" i="5"/>
  <c r="F25" i="5"/>
  <c r="F89" i="5" s="1"/>
  <c r="F48" i="5"/>
  <c r="F84" i="5"/>
  <c r="G48" i="5"/>
  <c r="G84" i="5"/>
  <c r="H25" i="5"/>
  <c r="H89" i="5" s="1"/>
  <c r="H48" i="5"/>
  <c r="H84" i="5"/>
  <c r="I25" i="5"/>
  <c r="I48" i="5"/>
  <c r="J25" i="5"/>
  <c r="J48" i="5"/>
  <c r="J84" i="5"/>
  <c r="K25" i="5"/>
  <c r="K84" i="5"/>
  <c r="L25" i="5"/>
  <c r="L48" i="5"/>
  <c r="L84" i="5"/>
  <c r="M25" i="5"/>
  <c r="M89" i="5" s="1"/>
  <c r="M48" i="5"/>
  <c r="M84" i="5"/>
  <c r="N25" i="5"/>
  <c r="N48" i="5"/>
  <c r="N84" i="5"/>
  <c r="O25" i="5"/>
  <c r="O89" i="5" s="1"/>
  <c r="O48" i="5"/>
  <c r="O84" i="5"/>
  <c r="Q84" i="5"/>
  <c r="R84" i="5"/>
  <c r="S84" i="5"/>
  <c r="S89" i="5" s="1"/>
  <c r="U84" i="5"/>
  <c r="U89" i="5" s="1"/>
  <c r="W84" i="5"/>
  <c r="X25" i="5"/>
  <c r="X89" i="5" s="1"/>
  <c r="X48" i="5"/>
  <c r="Y25" i="5"/>
  <c r="Y84" i="5"/>
  <c r="Z25" i="5"/>
  <c r="Z48" i="5"/>
  <c r="Z89" i="5"/>
  <c r="AA25" i="5"/>
  <c r="AA48" i="5"/>
  <c r="AA84" i="5"/>
  <c r="AA89" i="5"/>
  <c r="AB25" i="5"/>
  <c r="AB48" i="5"/>
  <c r="AB84" i="5"/>
  <c r="AB89" i="5"/>
  <c r="AC25" i="5"/>
  <c r="AC48" i="5"/>
  <c r="AC84" i="5"/>
  <c r="AC89" i="5"/>
  <c r="AD25" i="5"/>
  <c r="AD48" i="5"/>
  <c r="AD84" i="5"/>
  <c r="AD89" i="5"/>
  <c r="AH25" i="5"/>
  <c r="AH48" i="5"/>
  <c r="AH84" i="5"/>
  <c r="AH89" i="5"/>
  <c r="AI25" i="5"/>
  <c r="AI48" i="5"/>
  <c r="AI84" i="5"/>
  <c r="AI89" i="5"/>
  <c r="AJ25" i="5"/>
  <c r="AJ84" i="5"/>
  <c r="AL25" i="5"/>
  <c r="AL48" i="5"/>
  <c r="AL84" i="5"/>
  <c r="AM25" i="5"/>
  <c r="AM84" i="5"/>
  <c r="AN25" i="5"/>
  <c r="AN84" i="5"/>
  <c r="AO25" i="5"/>
  <c r="AO84" i="5"/>
  <c r="AP48" i="5"/>
  <c r="AP84" i="5"/>
  <c r="AP89" i="5" s="1"/>
  <c r="AV13" i="5"/>
  <c r="AV25" i="5" s="1"/>
  <c r="BG13" i="5"/>
  <c r="BN13" i="5"/>
  <c r="BN25" i="5" s="1"/>
  <c r="BN89" i="5" s="1"/>
  <c r="BO13" i="5"/>
  <c r="BP13" i="5"/>
  <c r="BP25" i="5" s="1"/>
  <c r="BP89" i="5" s="1"/>
  <c r="BV13" i="5"/>
  <c r="BW13" i="5"/>
  <c r="BS14" i="5"/>
  <c r="BW14" i="5"/>
  <c r="BW15" i="5"/>
  <c r="BO16" i="5"/>
  <c r="BO25" i="5" s="1"/>
  <c r="BO89" i="5" s="1"/>
  <c r="BQ16" i="5"/>
  <c r="BU16" i="5"/>
  <c r="BU25" i="5" s="1"/>
  <c r="BU89" i="5" s="1"/>
  <c r="BU17" i="5"/>
  <c r="BW17" i="5"/>
  <c r="BF18" i="5"/>
  <c r="BW18" i="5"/>
  <c r="BW19" i="5"/>
  <c r="BW20" i="5"/>
  <c r="BJ21" i="5"/>
  <c r="BW21" i="5"/>
  <c r="BW22" i="5"/>
  <c r="BO23" i="5"/>
  <c r="BW23" i="5" s="1"/>
  <c r="BW24" i="5"/>
  <c r="AT25" i="5"/>
  <c r="AU25" i="5"/>
  <c r="AU89" i="5" s="1"/>
  <c r="AW25" i="5"/>
  <c r="AX25" i="5"/>
  <c r="AY25" i="5"/>
  <c r="AY89" i="5" s="1"/>
  <c r="AZ25" i="5"/>
  <c r="BA25" i="5"/>
  <c r="BB25" i="5"/>
  <c r="BC25" i="5"/>
  <c r="BC89" i="5" s="1"/>
  <c r="BD25" i="5"/>
  <c r="BE25" i="5"/>
  <c r="BF25" i="5"/>
  <c r="BG25" i="5"/>
  <c r="BH25" i="5"/>
  <c r="BI25" i="5"/>
  <c r="BJ25" i="5"/>
  <c r="BK25" i="5"/>
  <c r="BQ25" i="5"/>
  <c r="BR25" i="5"/>
  <c r="BS25" i="5"/>
  <c r="BS89" i="5" s="1"/>
  <c r="BV25" i="5"/>
  <c r="BW26" i="5"/>
  <c r="BF27" i="5"/>
  <c r="BW27" i="5"/>
  <c r="BW28" i="5"/>
  <c r="AV29" i="5"/>
  <c r="BF29" i="5"/>
  <c r="BW29" i="5"/>
  <c r="BW30" i="5"/>
  <c r="BW31" i="5"/>
  <c r="AU32" i="5"/>
  <c r="BV32" i="5"/>
  <c r="BW32" i="5" s="1"/>
  <c r="BW33" i="5"/>
  <c r="BW34" i="5"/>
  <c r="BW35" i="5"/>
  <c r="BW36" i="5"/>
  <c r="BF37" i="5"/>
  <c r="BW37" i="5" s="1"/>
  <c r="BW38" i="5"/>
  <c r="BF39" i="5"/>
  <c r="BW39" i="5"/>
  <c r="BW40" i="5"/>
  <c r="BF41" i="5"/>
  <c r="BW41" i="5" s="1"/>
  <c r="BW42" i="5"/>
  <c r="BW43" i="5"/>
  <c r="BF44" i="5"/>
  <c r="BW44" i="5" s="1"/>
  <c r="BF45" i="5"/>
  <c r="BW45" i="5" s="1"/>
  <c r="BW46" i="5"/>
  <c r="BW47" i="5"/>
  <c r="AT48" i="5"/>
  <c r="AU48" i="5"/>
  <c r="AV48" i="5"/>
  <c r="AW48" i="5"/>
  <c r="AX48" i="5"/>
  <c r="AX89" i="5" s="1"/>
  <c r="AY48" i="5"/>
  <c r="AZ48" i="5"/>
  <c r="BA48" i="5"/>
  <c r="BB48" i="5"/>
  <c r="BB89" i="5" s="1"/>
  <c r="BC48" i="5"/>
  <c r="BD48" i="5"/>
  <c r="BE48" i="5"/>
  <c r="BG48" i="5"/>
  <c r="BH48" i="5"/>
  <c r="BI48" i="5"/>
  <c r="BJ48" i="5"/>
  <c r="BK48" i="5"/>
  <c r="BN48" i="5"/>
  <c r="BO48" i="5"/>
  <c r="BP48" i="5"/>
  <c r="BQ48" i="5"/>
  <c r="BR48" i="5"/>
  <c r="BS48" i="5"/>
  <c r="BU48" i="5"/>
  <c r="BV48" i="5"/>
  <c r="BV89" i="5" s="1"/>
  <c r="BW49" i="5"/>
  <c r="BW50" i="5"/>
  <c r="BF51" i="5"/>
  <c r="BW51" i="5" s="1"/>
  <c r="BF52" i="5"/>
  <c r="BW52" i="5" s="1"/>
  <c r="BW53" i="5"/>
  <c r="BF54" i="5"/>
  <c r="BW54" i="5"/>
  <c r="BF55" i="5"/>
  <c r="BW55" i="5"/>
  <c r="BW56" i="5"/>
  <c r="BF57" i="5"/>
  <c r="BW57" i="5" s="1"/>
  <c r="BF58" i="5"/>
  <c r="BW58" i="5" s="1"/>
  <c r="BF59" i="5"/>
  <c r="BW59" i="5" s="1"/>
  <c r="BF60" i="5"/>
  <c r="BW60" i="5" s="1"/>
  <c r="BF61" i="5"/>
  <c r="BW61" i="5" s="1"/>
  <c r="BW62" i="5"/>
  <c r="BW63" i="5"/>
  <c r="AV64" i="5"/>
  <c r="AV84" i="5" s="1"/>
  <c r="BF64" i="5"/>
  <c r="BW64" i="5"/>
  <c r="BF65" i="5"/>
  <c r="BW65" i="5"/>
  <c r="BW66" i="5"/>
  <c r="BW67" i="5"/>
  <c r="BW68" i="5"/>
  <c r="BW69" i="5"/>
  <c r="BW70" i="5"/>
  <c r="BW71" i="5"/>
  <c r="BW72" i="5"/>
  <c r="BW73" i="5"/>
  <c r="BW74" i="5"/>
  <c r="BW75" i="5"/>
  <c r="BW76" i="5"/>
  <c r="BW77" i="5"/>
  <c r="BW78" i="5"/>
  <c r="BW79" i="5"/>
  <c r="BW80" i="5"/>
  <c r="BW81" i="5"/>
  <c r="BW82" i="5"/>
  <c r="BW83" i="5"/>
  <c r="AT84" i="5"/>
  <c r="AU84" i="5"/>
  <c r="BW84" i="5" s="1"/>
  <c r="AW84" i="5"/>
  <c r="AW89" i="5"/>
  <c r="AX84" i="5"/>
  <c r="AY84" i="5"/>
  <c r="AZ84" i="5"/>
  <c r="BA84" i="5"/>
  <c r="BA89" i="5"/>
  <c r="BB84" i="5"/>
  <c r="BC84" i="5"/>
  <c r="BD84" i="5"/>
  <c r="BE84" i="5"/>
  <c r="BE89" i="5"/>
  <c r="BG84" i="5"/>
  <c r="BG89" i="5"/>
  <c r="BH84" i="5"/>
  <c r="BJ84" i="5"/>
  <c r="BJ89" i="5" s="1"/>
  <c r="BK84" i="5"/>
  <c r="BN84" i="5"/>
  <c r="BO84" i="5"/>
  <c r="BP84" i="5"/>
  <c r="BQ84" i="5"/>
  <c r="BS84" i="5"/>
  <c r="BU84" i="5"/>
  <c r="BV84" i="5"/>
  <c r="BW85" i="5"/>
  <c r="BW86" i="5"/>
  <c r="BW87" i="5"/>
  <c r="BW88" i="5"/>
  <c r="AT89" i="5"/>
  <c r="AZ89" i="5"/>
  <c r="BD89" i="5"/>
  <c r="BH89" i="5"/>
  <c r="BI89" i="5"/>
  <c r="BK89" i="5"/>
  <c r="BQ89" i="5"/>
  <c r="BR89" i="5"/>
  <c r="AS25" i="5"/>
  <c r="AS48" i="5"/>
  <c r="AS89" i="5"/>
  <c r="AS84" i="5"/>
  <c r="AK25" i="5"/>
  <c r="BF84" i="5"/>
  <c r="BF48" i="5"/>
  <c r="BW48" i="5" s="1"/>
  <c r="BW16" i="5"/>
  <c r="AR60" i="5"/>
  <c r="AR44" i="5"/>
  <c r="AR39" i="5"/>
  <c r="AR36" i="5"/>
  <c r="AR16" i="5"/>
  <c r="AR14" i="5"/>
  <c r="BF89" i="5"/>
  <c r="BW89" i="5" l="1"/>
  <c r="AV89" i="5"/>
  <c r="AL89" i="5"/>
  <c r="Y89" i="5"/>
  <c r="K89" i="5"/>
  <c r="R89" i="5"/>
  <c r="P50" i="5"/>
  <c r="P84" i="5" s="1"/>
  <c r="AR45" i="5"/>
  <c r="P45" i="5"/>
  <c r="AR43" i="5"/>
  <c r="P42" i="5"/>
  <c r="AR42" i="5"/>
  <c r="AR40" i="5"/>
  <c r="AR38" i="5"/>
  <c r="P38" i="5"/>
  <c r="AR37" i="5"/>
  <c r="P37" i="5"/>
  <c r="AR35" i="5"/>
  <c r="AR29" i="5"/>
  <c r="P27" i="5"/>
  <c r="AR27" i="5" s="1"/>
  <c r="AR22" i="5"/>
  <c r="P22" i="5"/>
  <c r="BW25" i="5"/>
  <c r="AR15" i="5"/>
  <c r="AO89" i="5"/>
  <c r="AN89" i="5"/>
  <c r="AM89" i="5"/>
  <c r="N89" i="5"/>
  <c r="L89" i="5"/>
  <c r="J89" i="5"/>
  <c r="I89" i="5"/>
  <c r="C89" i="5"/>
  <c r="AE89" i="5"/>
  <c r="T84" i="5"/>
  <c r="T48" i="5"/>
  <c r="P48" i="5" s="1"/>
  <c r="P25" i="5"/>
  <c r="Q89" i="5"/>
  <c r="AR62" i="5"/>
  <c r="AQ84" i="5"/>
  <c r="AQ89" i="5" s="1"/>
  <c r="AR52" i="5"/>
  <c r="AK84" i="5"/>
  <c r="AR47" i="5"/>
  <c r="AK48" i="5"/>
  <c r="AK89" i="5" s="1"/>
  <c r="AR33" i="5"/>
  <c r="P31" i="5"/>
  <c r="AR31" i="5"/>
  <c r="AR26" i="5"/>
  <c r="AR19" i="5"/>
  <c r="AR48" i="5" l="1"/>
  <c r="T89" i="5"/>
  <c r="P89" i="5"/>
  <c r="AR25" i="5"/>
  <c r="AR89" i="5" s="1"/>
  <c r="AR50" i="5"/>
  <c r="AR84" i="5" s="1"/>
  <c r="V84" i="5"/>
  <c r="V89" i="5"/>
</calcChain>
</file>

<file path=xl/comments1.xml><?xml version="1.0" encoding="utf-8"?>
<comments xmlns="http://schemas.openxmlformats.org/spreadsheetml/2006/main">
  <authors>
    <author>Lutvun</author>
  </authors>
  <commentList>
    <comment ref="AU32" authorId="0" shapeId="0">
      <text>
        <r>
          <rPr>
            <b/>
            <sz val="36"/>
            <color indexed="81"/>
            <rFont val="Times New Roman"/>
            <family val="1"/>
            <charset val="204"/>
          </rPr>
          <t>Lutvun:</t>
        </r>
        <r>
          <rPr>
            <sz val="36"/>
            <color indexed="81"/>
            <rFont val="Times New Roman"/>
            <family val="1"/>
            <charset val="204"/>
          </rPr>
          <t xml:space="preserve">
Грешных
</t>
        </r>
      </text>
    </comment>
  </commentList>
</comments>
</file>

<file path=xl/sharedStrings.xml><?xml version="1.0" encoding="utf-8"?>
<sst xmlns="http://schemas.openxmlformats.org/spreadsheetml/2006/main" count="338" uniqueCount="261">
  <si>
    <t>грн</t>
  </si>
  <si>
    <t>Код бюджету</t>
  </si>
  <si>
    <t>Обсяги міжбюджетних трансфертів, що передаються з обласного бюджету до державного бюджету</t>
  </si>
  <si>
    <t>Разом</t>
  </si>
  <si>
    <t>загальний фонд</t>
  </si>
  <si>
    <t>спеціальний фонд</t>
  </si>
  <si>
    <t>субвенції на здійснення програм соціального захисту:</t>
  </si>
  <si>
    <t>на виконання програм соціально-економічного та культурного розвитку регіонів</t>
  </si>
  <si>
    <t>інші субвенції</t>
  </si>
  <si>
    <t>на природоохоронні заходи</t>
  </si>
  <si>
    <t>на охорону і раціональне використання земель</t>
  </si>
  <si>
    <t>04100000000</t>
  </si>
  <si>
    <t>Обласний бюджет</t>
  </si>
  <si>
    <t>Державний бюджет</t>
  </si>
  <si>
    <t>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</si>
  <si>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04511000000</t>
  </si>
  <si>
    <t>04514000000</t>
  </si>
  <si>
    <t>04202100000</t>
  </si>
  <si>
    <t>04201100000</t>
  </si>
  <si>
    <t>04203100000</t>
  </si>
  <si>
    <t>04204100000</t>
  </si>
  <si>
    <t>04205100000</t>
  </si>
  <si>
    <t>04206100000</t>
  </si>
  <si>
    <t>04207100000</t>
  </si>
  <si>
    <t>04208100000</t>
  </si>
  <si>
    <t>04209100000</t>
  </si>
  <si>
    <t>04210100000</t>
  </si>
  <si>
    <t>04211100000</t>
  </si>
  <si>
    <t>04212100000</t>
  </si>
  <si>
    <t>04213100000</t>
  </si>
  <si>
    <t>04301200000</t>
  </si>
  <si>
    <t>04302200000</t>
  </si>
  <si>
    <t>04303200000</t>
  </si>
  <si>
    <t>04304200000</t>
  </si>
  <si>
    <t>04305200000</t>
  </si>
  <si>
    <t>04306200000</t>
  </si>
  <si>
    <t>04307200000</t>
  </si>
  <si>
    <t>04308200000</t>
  </si>
  <si>
    <t>04309200000</t>
  </si>
  <si>
    <t>04310200000</t>
  </si>
  <si>
    <t>04311200000</t>
  </si>
  <si>
    <t>04312200000</t>
  </si>
  <si>
    <t>04313200000</t>
  </si>
  <si>
    <t>04314200000</t>
  </si>
  <si>
    <t>04315200000</t>
  </si>
  <si>
    <t>04316200000</t>
  </si>
  <si>
    <t>04317200000</t>
  </si>
  <si>
    <t>04318200000</t>
  </si>
  <si>
    <t>04319200000</t>
  </si>
  <si>
    <t>04320200000</t>
  </si>
  <si>
    <t>04321200000</t>
  </si>
  <si>
    <t>04322200000</t>
  </si>
  <si>
    <t>04502000000</t>
  </si>
  <si>
    <t>Обсяги міжбюджетних трансфертів, що передаються з обласного бюджету до місцевих бюджетів</t>
  </si>
  <si>
    <t>Назва адміністративно-територіальних одиниць</t>
  </si>
  <si>
    <t>Апостолівський р-н</t>
  </si>
  <si>
    <t xml:space="preserve">Разом </t>
  </si>
  <si>
    <t>м. Вільногірськ</t>
  </si>
  <si>
    <t>м. Жовті Води</t>
  </si>
  <si>
    <t>м. Кривий Ріг</t>
  </si>
  <si>
    <t>м. Марганець</t>
  </si>
  <si>
    <t>м. Нікополь</t>
  </si>
  <si>
    <t>м. Новомосковськ</t>
  </si>
  <si>
    <t>м. Павлоград</t>
  </si>
  <si>
    <t>м. Першотравенськ</t>
  </si>
  <si>
    <t>м. Синельникове</t>
  </si>
  <si>
    <t>м. Тернівка</t>
  </si>
  <si>
    <t>Васильківський р-н</t>
  </si>
  <si>
    <t>Верхньодніпровський р-н</t>
  </si>
  <si>
    <t>Криворізький р-н</t>
  </si>
  <si>
    <t>Криничанський р-н</t>
  </si>
  <si>
    <t>Магдалинівський р-н</t>
  </si>
  <si>
    <t>Межівський р-н</t>
  </si>
  <si>
    <t>Нікопольський р-н</t>
  </si>
  <si>
    <t>Новомосковський р-н</t>
  </si>
  <si>
    <t>Павлоградський р-н</t>
  </si>
  <si>
    <t>Петриківський р-н</t>
  </si>
  <si>
    <t>Петропавлівський р-н</t>
  </si>
  <si>
    <t>Покровський р-н</t>
  </si>
  <si>
    <t>П’ятихатський р-н</t>
  </si>
  <si>
    <t>Синельниківський р-н</t>
  </si>
  <si>
    <t>Солонянський р-н</t>
  </si>
  <si>
    <t>Софіївський р-н</t>
  </si>
  <si>
    <t>Томаківський р-н</t>
  </si>
  <si>
    <t>Царичанський р-н</t>
  </si>
  <si>
    <t>Широківський р-н</t>
  </si>
  <si>
    <t>Юр’ївський р-н</t>
  </si>
  <si>
    <t>Новоолександрівська сільська рада</t>
  </si>
  <si>
    <t xml:space="preserve">Богданівська сільська рада </t>
  </si>
  <si>
    <t xml:space="preserve">Сурсько-Литовська сільська рада </t>
  </si>
  <si>
    <t>Обласний бюджет Кіровоградської області</t>
  </si>
  <si>
    <t xml:space="preserve">Обсяги міжбюджетних трансфертів, що передаються з обласного бюджету до місцевих бюджетів за рахунок коштів  державного бюджету </t>
  </si>
  <si>
    <t>на розроблення проектів землеустрою для учасників бойових дій, які брали безпосередню участь в антитерористичній операції, забезпеченні її проведення, та членам сімей загиблих учасників бойових дій</t>
  </si>
  <si>
    <t>Об’єднані територіальні громади</t>
  </si>
  <si>
    <t>04515000000</t>
  </si>
  <si>
    <t>Апостолівська міська рада</t>
  </si>
  <si>
    <t>Вербківська сільська рада</t>
  </si>
  <si>
    <t>Зеленодольська міська рада</t>
  </si>
  <si>
    <t>Грушівська сільська рада</t>
  </si>
  <si>
    <t>Ляшківська сільська рада</t>
  </si>
  <si>
    <t>Могилівська сільська рада</t>
  </si>
  <si>
    <t>Нивотрудівська сільська рада</t>
  </si>
  <si>
    <t>Новопокровська селищна рада</t>
  </si>
  <si>
    <t>Солонянська селищна рада</t>
  </si>
  <si>
    <t>04501000000</t>
  </si>
  <si>
    <t>04503000000</t>
  </si>
  <si>
    <t>04504000000</t>
  </si>
  <si>
    <t>04505000000</t>
  </si>
  <si>
    <t>04506000000</t>
  </si>
  <si>
    <t>04507000000</t>
  </si>
  <si>
    <t>04508000000</t>
  </si>
  <si>
    <t>04509000000</t>
  </si>
  <si>
    <t>04510000000</t>
  </si>
  <si>
    <t>04512000000</t>
  </si>
  <si>
    <t>04513000000</t>
  </si>
  <si>
    <t>м. Покров</t>
  </si>
  <si>
    <t>м. Кам'янське</t>
  </si>
  <si>
    <t>Дніпровський р-н</t>
  </si>
  <si>
    <t>Слобожанська селищна рада</t>
  </si>
  <si>
    <t>Обласний бюджет Донецької області</t>
  </si>
  <si>
    <t>на надання пільг та житлових субсидій населенню на придбання твердого та рідкого пічного побутового палива і скрапленого газу</t>
  </si>
  <si>
    <t>КПКВК 7618480</t>
  </si>
  <si>
    <t>КПКВК 7618260</t>
  </si>
  <si>
    <t>КПКВК 7618320</t>
  </si>
  <si>
    <t>КПКВК 7618340</t>
  </si>
  <si>
    <t>КПКВК 6018370</t>
  </si>
  <si>
    <t>Реверсна дотація</t>
  </si>
  <si>
    <t>КПКВК 7618120</t>
  </si>
  <si>
    <t>Перший заступник голови обласної ради</t>
  </si>
  <si>
    <t>на виконання доручень виборців депутатами обласної ради у 2017 році</t>
  </si>
  <si>
    <t>інші додаткові дотації</t>
  </si>
  <si>
    <t>КПКВК 7618700</t>
  </si>
  <si>
    <t>на фінансування переможців обласного конкурсу мініпроектів з енергоефективності та енергозбереження серед органів самоорганізації населення та ОСББ (на умовах співфінансування)</t>
  </si>
  <si>
    <t>на співфінансування органів місцевого самоврядування області - переможців конкурсів, учасників спільних проектів (програм), державних, міжнародних, громадських організацій (фондів), спрямованих на розвиток місцевого самоврядування, - Швейцарсько-Український проект „Підтримка децентралізації в Україні” DESPRO</t>
  </si>
  <si>
    <t>Святовасилівська сільська рада</t>
  </si>
  <si>
    <t>Вакулівська сільська рада</t>
  </si>
  <si>
    <t>на поліпшення матеріально-технічної бази сільськогосподарських обслуговуючих та виробничих кооперативів</t>
  </si>
  <si>
    <t>м. Дніпро</t>
  </si>
  <si>
    <t>на капітальні видатки та облаштування об’єктів соціально-культурної сфери</t>
  </si>
  <si>
    <t>Показники міжбюджетних трансфертів між обласним бюджетом та іншими бюджетами на 2017 рік</t>
  </si>
  <si>
    <t>КПКВК 1018630</t>
  </si>
  <si>
    <t>на надання державної підтримки особам з особливими освітніми потребами</t>
  </si>
  <si>
    <t>КПКВК 0318510</t>
  </si>
  <si>
    <t>на проведення виборів депутатів місцевих рад та сільських, селищних, міських голів</t>
  </si>
  <si>
    <t xml:space="preserve">                                              З НИХ                                               </t>
  </si>
  <si>
    <t>на виготовлення органами ведення Державного реєстру виборців списків виборців та іменних запрошень для підготовки і проведення повторного голосування виборів депутатів сільських, селищних рад об'єднаних територіальних громад</t>
  </si>
  <si>
    <t>04521000000</t>
  </si>
  <si>
    <t>Криничанська селищна рада</t>
  </si>
  <si>
    <t>04534000000</t>
  </si>
  <si>
    <t>04527000000</t>
  </si>
  <si>
    <t>Царичанська селищна рада</t>
  </si>
  <si>
    <t xml:space="preserve">Обсяги міжбюджетних трансфертів, що передаються з інших місцевих бюджетів до обласного бюджету </t>
  </si>
  <si>
    <t>субвенція з інших бюджетів на виконання інвестиційних проектів</t>
  </si>
  <si>
    <t>КФКД 41020900</t>
  </si>
  <si>
    <t>КФКД 41034200</t>
  </si>
  <si>
    <t>КФКД 41030300</t>
  </si>
  <si>
    <t>КФКД 41030400</t>
  </si>
  <si>
    <t>КФКД 41035000</t>
  </si>
  <si>
    <t>Інші додаткові дотації</t>
  </si>
  <si>
    <t>Медична субвенція з державного бюджету місцевим бюджетам</t>
  </si>
  <si>
    <t>на виконання інвестиційних проектів</t>
  </si>
  <si>
    <t>на організацію участі колективу КВНЗ „Дніпродзержинський музичний коледж” ДОР” у міжнародному фестивалі</t>
  </si>
  <si>
    <t>на проведення обстежень мешканців міста Кам'янська з профілактики та боротьби зі СНІДом</t>
  </si>
  <si>
    <t>на виконання Програми виконання доручень виборців депутатам Дніпропетровської міської ради VII скликання 
на 2016-2020 роки</t>
  </si>
  <si>
    <t>на оплату послуг з приєднання електричних мереж амбулаторій центрів первинної медико-санітарної допомоги міста Кривого Рогу до мереж електропостачальної організації в рамках реалізації субпроекту "Підтримка реформування охорони здоров'я Дніпропетровської області"</t>
  </si>
  <si>
    <t>на оплату послуг з приєднання електричних мереж КЗ „Дніпропетровське клінічне об'єднання швидкої медичної допомоги” Дніпропетровської обласної ради, по проекту Світового банку, до мереж електропостачальної організації</t>
  </si>
  <si>
    <t>на оплату послуг за приєднання електроустановок потужністю 900 кВт до електромереж, збільшення потужності (КЗ "Павлоградська міська лікарня № 4 "ДОР")</t>
  </si>
  <si>
    <t>на відшкодування витрат за житлово-комунальні послуги та за тимчасове проживання внутрішньо переміщенних осіб (вимушених переселенців) у м. Дніпропетровськ</t>
  </si>
  <si>
    <t>на придбання вакцин для імунізації тварин проти сказу для Тернівської міської лікарні ветеринарної медицини</t>
  </si>
  <si>
    <t>на виконання програми боротьби з захворюванням тварин на сказ на території населених пунктів та мисливських угідь Магдалинівського району на 2014 - 2016 роки</t>
  </si>
  <si>
    <t>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t>
  </si>
  <si>
    <t>05100000000</t>
  </si>
  <si>
    <t>Чкаловська сільська рада</t>
  </si>
  <si>
    <t>до рішення обласної ради</t>
  </si>
  <si>
    <t>на 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2020 року</t>
  </si>
  <si>
    <t>КПКВК 6718370</t>
  </si>
  <si>
    <t>КПКВК 7618370</t>
  </si>
  <si>
    <t>на реалізацію заходів програми впровадження державної політики органами виконавчої влади у Дніпропетровській області на 2016 – 2020 роки</t>
  </si>
  <si>
    <t>Мирівська сільська рада</t>
  </si>
  <si>
    <t>Томаківська селищна рада</t>
  </si>
  <si>
    <t>Васильківська селищна рада</t>
  </si>
  <si>
    <t>04516000000</t>
  </si>
  <si>
    <t>04519000000</t>
  </si>
  <si>
    <t>04526000000</t>
  </si>
  <si>
    <t>КПКВК 6818370</t>
  </si>
  <si>
    <t>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 забезпечення пожежної безпеки Дніпропетровської області на 2016 – 2020 роки</t>
  </si>
  <si>
    <t>КПКВК 1018610</t>
  </si>
  <si>
    <t>Субвенція за рахунок залишку коштів освітньої субвенції з державного бюджету місцевим бюджетам, що утворився на початок бюджетного періоду</t>
  </si>
  <si>
    <t>на придбання літератури для інклюзивної освіти</t>
  </si>
  <si>
    <t>на оплату праці з нарахуваннями на заробітну плату педагогічних працівників</t>
  </si>
  <si>
    <t>на оновлення матеріально-технічної бази</t>
  </si>
  <si>
    <t>на підтримку інклюзивної освіти</t>
  </si>
  <si>
    <t>на оснащення опорних закладів засобами навчання, впровадження енергозберігаючих технологій</t>
  </si>
  <si>
    <t>04517000000</t>
  </si>
  <si>
    <t>Аульська селищна рада</t>
  </si>
  <si>
    <t>04518000000</t>
  </si>
  <si>
    <t>Божедарівська селищна рада</t>
  </si>
  <si>
    <t>04520000000</t>
  </si>
  <si>
    <t>Вишнівська селищна рада</t>
  </si>
  <si>
    <t>04522000000</t>
  </si>
  <si>
    <t>04523000000</t>
  </si>
  <si>
    <t>04524000000</t>
  </si>
  <si>
    <t>04525000000</t>
  </si>
  <si>
    <t>Лихівська селищна рада</t>
  </si>
  <si>
    <t>Покровська селищна рада</t>
  </si>
  <si>
    <t>Роздорська селищна рада</t>
  </si>
  <si>
    <t>Софіївська селищна рада</t>
  </si>
  <si>
    <t>04528000000</t>
  </si>
  <si>
    <t>04529000000</t>
  </si>
  <si>
    <t>04530000000</t>
  </si>
  <si>
    <t>04531000000</t>
  </si>
  <si>
    <t>04532000000</t>
  </si>
  <si>
    <t>04533000000</t>
  </si>
  <si>
    <t>Варварівська сільська рада</t>
  </si>
  <si>
    <t>Великомихайлівська сільська рада</t>
  </si>
  <si>
    <t>Гречаноподівська сільська рада</t>
  </si>
  <si>
    <t>Маломихайлівська сільська рада</t>
  </si>
  <si>
    <t>Новолатівська сільська рада</t>
  </si>
  <si>
    <t>Новопавлівська сільська рада</t>
  </si>
  <si>
    <t>КПКВК 1418660</t>
  </si>
  <si>
    <t xml:space="preserve">Субвенція з державного бюджету місцевим бюджетам на відшкодування вартості лікарських засобів для лікування окремих захворювань  </t>
  </si>
  <si>
    <t xml:space="preserve">Обсяги міжбюджетних трансфертів, що передаються з обласного бюджету до місцевих бюджетів за рахунок коштів державного бюджету </t>
  </si>
  <si>
    <t>на капітальний ремонт доріг</t>
  </si>
  <si>
    <t>на проведення II Дніпровського  економічного форуму, семінарів та тренінгів з міжнародного співробітництва</t>
  </si>
  <si>
    <t>КПКВК 4018420</t>
  </si>
  <si>
    <t>на фінансування заходів соціально-економічної компенсації ризику населення, яке проживає на території зони спостереження</t>
  </si>
  <si>
    <t>субвенції</t>
  </si>
  <si>
    <t>Шведун</t>
  </si>
  <si>
    <t>КПКВК 4018500</t>
  </si>
  <si>
    <t>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</si>
  <si>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КПКВК 7618440</t>
  </si>
  <si>
    <t>на здійснення заходів щодо соціально-економічного розвитку окремих територій</t>
  </si>
  <si>
    <t>на підготовку і проведення позачергових місцевих виборів</t>
  </si>
  <si>
    <t>на виготовлення органами ведення Державного реєстру виборців списків виборців та іменних запрошень для підготовки і проведення позачергових місцевих виборів</t>
  </si>
  <si>
    <t>КПКВК 1518580</t>
  </si>
  <si>
    <t>КПКВК 0118800</t>
  </si>
  <si>
    <t>КПКВК 5318800</t>
  </si>
  <si>
    <t>КПКВК 4718800</t>
  </si>
  <si>
    <t>на розвиток дорожнього господарства</t>
  </si>
  <si>
    <t>у тому числі</t>
  </si>
  <si>
    <t>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</si>
  <si>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Додаток 4</t>
  </si>
  <si>
    <t>С. ОЛІЙНИК</t>
  </si>
  <si>
    <t xml:space="preserve">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 оплату послуг із здійснення патронату над дитиною та виплату соціальної допомоги на утримання дитини в сім’ї  патронатного вихователя</t>
  </si>
  <si>
    <t>на підтримку об’єднаних територіальних громад (впровадження енергозберігаючих технологій)</t>
  </si>
  <si>
    <t>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</si>
  <si>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 забезпечення пожежної безпеки Дніпропетровської області на
2016 – 2020 роки</t>
  </si>
  <si>
    <t>на фінансування переможців обласного конкурсу проектів і програм розвитку місцевого самоврядування
2017 року</t>
  </si>
  <si>
    <t>на утримання об’єктів спільного користування чи ліквідацію негативних наслідків діяльності об’єктів спільного користування</t>
  </si>
  <si>
    <t>на виконання Програми виконання доручень виборців депутатами Дніпропетровської міської ради VII скликання 
на 2016 – 2020 роки</t>
  </si>
  <si>
    <t>на оплату послуг з приєднання електричних мереж амбулаторій центрів первинної медико-санітарної допомоги міста Кривого Рогу до мереж електропостачальної організації в рамках реалізації субпроекту „Підтримка реформування охорони здоров’я Дніпропетровської області”</t>
  </si>
  <si>
    <t>субвенція обласному  бюджету для комунального закладу „Дитячий протитуберкульозний санаторій
№ 5 Дніпропетровської обласної ради” на улаштування гумового покриття дитячого майданчика, поточний ремонт овочесховища, завершення капітального ремонту внутрішніх приміщень (приміщень дитячої групи № 1), розробку проектно-кошторисної документації та проходження експертизи з капітального ремонту фасаду з утепленням будівлі та харчоблоку, проведення капітального ремонту харчоблоку</t>
  </si>
  <si>
    <t>на оплату послуг за приєднання електроустановок потужністю 900 кВт до електромереж, збільшення потужності
(КЗ „Павлоградська міська лікарня № 4” ДОР”)</t>
  </si>
  <si>
    <t>на відшкодування витрат за житлово-комунальні послуги та за тимчасове проживання внутрішньо переміщених осіб (вимушених переселенців)
у м. Дніпрі</t>
  </si>
  <si>
    <t>субвенція з міського бюджету обласному бюджету на придбання обладнання для КЗ „Криворізький психоневрологічний диспансер” ДОР</t>
  </si>
  <si>
    <t>субвенція обласному  бюджету для комунального закладу „Дитячий протитуберкульозний санаторій № 5 Дніпропетровської обласної ради” на улаштування гумового покриття дитячого майданчика, поточний ремонт овочесховища, завершення капітального ремонту внутрішніх приміщень (приміщень дитячої групи № 1), розробку проектно-кошторисної документації та проходження експертизи з капітального ремонту фасаду з утепленням будівлі та харчоблоку, проведення капітального ремонту харчоблоку</t>
  </si>
  <si>
    <t>на капітальний ремонт об’єктів соціально-культурної сфери та інфраструктури міста Кам’янське</t>
  </si>
  <si>
    <t>на капітальний ремонт об’єктів соціально-культурної сфери</t>
  </si>
  <si>
    <t xml:space="preserve">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 </t>
  </si>
  <si>
    <t>на підготовку і проведення повторного голосування з перших виборів депутатів сільських, селищних рад об’єднаних територіальних громад</t>
  </si>
  <si>
    <t>Усього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</si>
</sst>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amily val="2"/>
      <charset val="204"/>
    </font>
    <font>
      <sz val="10"/>
      <name val="Arial Cyr"/>
      <family val="2"/>
      <charset val="204"/>
    </font>
    <font>
      <sz val="56"/>
      <name val="Arial Cyr"/>
      <family val="2"/>
      <charset val="204"/>
    </font>
    <font>
      <sz val="50"/>
      <name val="Times New Roman"/>
      <family val="1"/>
      <charset val="204"/>
    </font>
    <font>
      <sz val="22"/>
      <name val="Times New Roman"/>
      <family val="1"/>
      <charset val="204"/>
    </font>
    <font>
      <b/>
      <sz val="48"/>
      <name val="Times New Roman"/>
      <family val="1"/>
      <charset val="204"/>
    </font>
    <font>
      <sz val="56"/>
      <name val="Times New Roman"/>
      <family val="1"/>
      <charset val="204"/>
    </font>
    <font>
      <sz val="26"/>
      <name val="Times New Roman"/>
      <family val="1"/>
      <charset val="204"/>
    </font>
    <font>
      <sz val="44"/>
      <name val="Times New Roman"/>
      <family val="1"/>
      <charset val="204"/>
    </font>
    <font>
      <sz val="42"/>
      <name val="Times New Roman"/>
      <family val="1"/>
      <charset val="204"/>
    </font>
    <font>
      <sz val="11"/>
      <name val="Arial Cyr"/>
      <family val="2"/>
      <charset val="204"/>
    </font>
    <font>
      <i/>
      <sz val="44"/>
      <name val="Times New Roman"/>
      <family val="1"/>
      <charset val="204"/>
    </font>
    <font>
      <sz val="46"/>
      <name val="Times New Roman"/>
      <family val="1"/>
      <charset val="204"/>
    </font>
    <font>
      <sz val="46"/>
      <color indexed="9"/>
      <name val="Times New Roman"/>
      <family val="1"/>
      <charset val="204"/>
    </font>
    <font>
      <sz val="46"/>
      <name val="Times New Roman Cyr"/>
      <family val="1"/>
      <charset val="204"/>
    </font>
    <font>
      <b/>
      <sz val="10"/>
      <name val="Arial Cyr"/>
      <family val="2"/>
      <charset val="204"/>
    </font>
    <font>
      <sz val="28"/>
      <name val="Times New Roman"/>
      <family val="1"/>
      <charset val="204"/>
    </font>
    <font>
      <sz val="40"/>
      <name val="Bookman Old Style"/>
      <family val="1"/>
      <charset val="204"/>
    </font>
    <font>
      <sz val="40"/>
      <name val="Arial Cyr"/>
      <family val="2"/>
      <charset val="204"/>
    </font>
    <font>
      <sz val="10"/>
      <name val="Arial"/>
      <family val="2"/>
      <charset val="204"/>
    </font>
    <font>
      <b/>
      <sz val="52"/>
      <name val="Times New Roman"/>
      <family val="1"/>
      <charset val="204"/>
    </font>
    <font>
      <sz val="50"/>
      <name val="Arial Cyr"/>
      <family val="2"/>
      <charset val="204"/>
    </font>
    <font>
      <sz val="52"/>
      <name val="Times New Roman"/>
      <family val="1"/>
      <charset val="204"/>
    </font>
    <font>
      <sz val="10"/>
      <color indexed="8"/>
      <name val="ARIAL"/>
      <charset val="1"/>
    </font>
    <font>
      <b/>
      <sz val="65"/>
      <name val="Times New Roman"/>
      <family val="1"/>
      <charset val="204"/>
    </font>
    <font>
      <sz val="65"/>
      <name val="Arial Cyr"/>
      <family val="2"/>
      <charset val="204"/>
    </font>
    <font>
      <b/>
      <sz val="36"/>
      <color indexed="81"/>
      <name val="Times New Roman"/>
      <family val="1"/>
      <charset val="204"/>
    </font>
    <font>
      <sz val="36"/>
      <color indexed="81"/>
      <name val="Times New Roman"/>
      <family val="1"/>
      <charset val="204"/>
    </font>
  </fonts>
  <fills count="2">
    <fill>
      <patternFill patternType="none"/>
    </fill>
    <fill>
      <patternFill patternType="gray125"/>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5">
    <xf numFmtId="0" fontId="0" fillId="0" borderId="0"/>
    <xf numFmtId="0" fontId="19" fillId="0" borderId="0"/>
    <xf numFmtId="0" fontId="23" fillId="0" borderId="0">
      <alignment vertical="top"/>
    </xf>
    <xf numFmtId="0" fontId="19" fillId="0" borderId="0"/>
    <xf numFmtId="0" fontId="19" fillId="0" borderId="0"/>
  </cellStyleXfs>
  <cellXfs count="54">
    <xf numFmtId="0" fontId="0" fillId="0" borderId="0" xfId="0"/>
    <xf numFmtId="0" fontId="2" fillId="0" borderId="0" xfId="0" applyFont="1" applyFill="1"/>
    <xf numFmtId="0" fontId="1" fillId="0" borderId="0" xfId="0" applyFont="1" applyFill="1"/>
    <xf numFmtId="0" fontId="21" fillId="0" borderId="0" xfId="0" applyFont="1" applyFill="1"/>
    <xf numFmtId="0" fontId="1" fillId="0" borderId="0" xfId="0" applyFont="1" applyFill="1" applyAlignment="1"/>
    <xf numFmtId="0" fontId="4" fillId="0" borderId="0" xfId="0" applyFont="1" applyFill="1" applyAlignment="1">
      <alignment wrapText="1"/>
    </xf>
    <xf numFmtId="0" fontId="2"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right"/>
    </xf>
    <xf numFmtId="0" fontId="3" fillId="0" borderId="0" xfId="0" applyFont="1" applyFill="1" applyAlignment="1">
      <alignment horizontal="right"/>
    </xf>
    <xf numFmtId="0" fontId="7" fillId="0" borderId="0" xfId="0" applyFont="1" applyFill="1" applyAlignment="1">
      <alignment horizontal="right"/>
    </xf>
    <xf numFmtId="0" fontId="10" fillId="0" borderId="1" xfId="0" applyFont="1" applyFill="1" applyBorder="1"/>
    <xf numFmtId="0" fontId="11" fillId="0" borderId="2" xfId="0" applyFont="1" applyFill="1" applyBorder="1" applyAlignment="1">
      <alignment horizontal="center" vertical="center" wrapText="1"/>
    </xf>
    <xf numFmtId="0" fontId="10" fillId="0" borderId="0" xfId="0" applyFont="1" applyFill="1"/>
    <xf numFmtId="49" fontId="8" fillId="0" borderId="3" xfId="0" applyNumberFormat="1" applyFont="1" applyFill="1" applyBorder="1" applyAlignment="1">
      <alignment horizontal="center"/>
    </xf>
    <xf numFmtId="0" fontId="8" fillId="0" borderId="4" xfId="0" applyFont="1" applyFill="1" applyBorder="1" applyAlignment="1">
      <alignment vertical="center" wrapText="1"/>
    </xf>
    <xf numFmtId="0" fontId="1" fillId="0" borderId="1" xfId="0" applyFont="1" applyFill="1" applyBorder="1"/>
    <xf numFmtId="0" fontId="15" fillId="0" borderId="1" xfId="0" applyFont="1" applyFill="1" applyBorder="1"/>
    <xf numFmtId="0" fontId="8" fillId="0" borderId="0" xfId="0" applyFont="1" applyFill="1" applyBorder="1" applyAlignment="1">
      <alignment horizontal="center"/>
    </xf>
    <xf numFmtId="0" fontId="9" fillId="0" borderId="0" xfId="0" applyFont="1" applyFill="1" applyBorder="1" applyAlignment="1">
      <alignment vertical="center"/>
    </xf>
    <xf numFmtId="3" fontId="12" fillId="0" borderId="0" xfId="0" applyNumberFormat="1" applyFont="1" applyFill="1" applyBorder="1" applyAlignment="1">
      <alignment vertical="center"/>
    </xf>
    <xf numFmtId="3" fontId="12" fillId="0" borderId="0" xfId="0" applyNumberFormat="1" applyFont="1" applyFill="1" applyBorder="1" applyAlignment="1">
      <alignment horizontal="right" vertical="center"/>
    </xf>
    <xf numFmtId="0" fontId="15" fillId="0" borderId="0" xfId="0" applyFont="1" applyFill="1" applyBorder="1"/>
    <xf numFmtId="0" fontId="17" fillId="0" borderId="0" xfId="0" applyFont="1" applyFill="1"/>
    <xf numFmtId="3" fontId="16" fillId="0" borderId="0" xfId="0" applyNumberFormat="1" applyFont="1" applyFill="1" applyBorder="1" applyAlignment="1">
      <alignment horizontal="right"/>
    </xf>
    <xf numFmtId="0" fontId="18" fillId="0" borderId="0" xfId="0" applyFont="1" applyFill="1"/>
    <xf numFmtId="3" fontId="1" fillId="0" borderId="0" xfId="0" applyNumberFormat="1" applyFont="1" applyFill="1"/>
    <xf numFmtId="0" fontId="9" fillId="0" borderId="2" xfId="0" applyFont="1" applyFill="1" applyBorder="1" applyAlignment="1">
      <alignment vertical="center" wrapText="1"/>
    </xf>
    <xf numFmtId="3" fontId="24" fillId="0" borderId="0" xfId="0" applyNumberFormat="1" applyFont="1" applyFill="1" applyBorder="1" applyAlignment="1">
      <alignment wrapText="1"/>
    </xf>
    <xf numFmtId="0" fontId="25" fillId="0" borderId="0" xfId="0" applyFont="1" applyFill="1"/>
    <xf numFmtId="0" fontId="22" fillId="0" borderId="0" xfId="0" applyNumberFormat="1" applyFont="1" applyFill="1" applyAlignment="1" applyProtection="1">
      <alignment horizontal="left" vertical="center" wrapText="1"/>
    </xf>
    <xf numFmtId="4" fontId="12" fillId="0" borderId="2" xfId="0" applyNumberFormat="1" applyFont="1" applyFill="1" applyBorder="1" applyAlignment="1">
      <alignment vertical="center"/>
    </xf>
    <xf numFmtId="4" fontId="12" fillId="0" borderId="2" xfId="0" applyNumberFormat="1" applyFont="1" applyFill="1" applyBorder="1" applyAlignment="1">
      <alignment horizontal="right" vertical="center"/>
    </xf>
    <xf numFmtId="4" fontId="14" fillId="0" borderId="2" xfId="0" applyNumberFormat="1" applyFont="1" applyFill="1" applyBorder="1" applyAlignment="1">
      <alignment vertical="center"/>
    </xf>
    <xf numFmtId="0" fontId="10" fillId="0" borderId="5" xfId="0" applyFont="1" applyFill="1" applyBorder="1"/>
    <xf numFmtId="0" fontId="8" fillId="0" borderId="2" xfId="0" applyFont="1" applyFill="1" applyBorder="1" applyAlignment="1">
      <alignment horizontal="center" vertical="center" wrapText="1"/>
    </xf>
    <xf numFmtId="0" fontId="11" fillId="0" borderId="2" xfId="0" applyFont="1" applyFill="1" applyBorder="1" applyAlignment="1">
      <alignment vertical="center" wrapText="1"/>
    </xf>
    <xf numFmtId="4" fontId="13" fillId="0" borderId="2" xfId="0" applyNumberFormat="1" applyFont="1" applyFill="1" applyBorder="1" applyAlignment="1">
      <alignment vertical="center"/>
    </xf>
    <xf numFmtId="3" fontId="24" fillId="0" borderId="0" xfId="0" applyNumberFormat="1" applyFont="1" applyFill="1" applyBorder="1" applyAlignment="1">
      <alignment horizontal="left" wrapText="1"/>
    </xf>
    <xf numFmtId="0" fontId="5" fillId="0" borderId="0" xfId="0" applyFont="1" applyFill="1" applyBorder="1" applyAlignment="1">
      <alignment horizontal="center"/>
    </xf>
    <xf numFmtId="0" fontId="6" fillId="0" borderId="0" xfId="0" applyFont="1" applyFill="1" applyBorder="1" applyAlignment="1">
      <alignment horizontal="right"/>
    </xf>
    <xf numFmtId="4" fontId="12" fillId="0" borderId="6" xfId="0" applyNumberFormat="1" applyFont="1" applyFill="1" applyBorder="1" applyAlignment="1">
      <alignment vertical="center"/>
    </xf>
    <xf numFmtId="4" fontId="12" fillId="0" borderId="6" xfId="0" applyNumberFormat="1" applyFont="1" applyFill="1" applyBorder="1" applyAlignment="1">
      <alignment horizontal="right" vertical="center"/>
    </xf>
    <xf numFmtId="0" fontId="9" fillId="0" borderId="2" xfId="0" applyFont="1" applyFill="1" applyBorder="1" applyAlignment="1">
      <alignment horizontal="center" vertical="center" wrapText="1"/>
    </xf>
    <xf numFmtId="0" fontId="10" fillId="0" borderId="2" xfId="0" applyFont="1" applyFill="1" applyBorder="1"/>
    <xf numFmtId="0" fontId="8" fillId="0" borderId="2" xfId="0" applyFont="1" applyFill="1" applyBorder="1" applyAlignment="1">
      <alignment vertical="center" wrapText="1"/>
    </xf>
    <xf numFmtId="0" fontId="24" fillId="0" borderId="0" xfId="0" applyFont="1" applyFill="1" applyAlignment="1">
      <alignment horizontal="left"/>
    </xf>
    <xf numFmtId="0" fontId="24" fillId="0" borderId="0" xfId="0" applyFont="1" applyFill="1" applyAlignment="1">
      <alignment horizontal="left"/>
    </xf>
    <xf numFmtId="0" fontId="11"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24" fillId="0" borderId="0" xfId="0" applyNumberFormat="1" applyFont="1" applyFill="1" applyBorder="1" applyAlignment="1">
      <alignment horizontal="left" wrapText="1"/>
    </xf>
    <xf numFmtId="2" fontId="11" fillId="0" borderId="2" xfId="0" applyNumberFormat="1" applyFont="1" applyFill="1" applyBorder="1" applyAlignment="1">
      <alignment horizontal="center" vertical="center"/>
    </xf>
    <xf numFmtId="0" fontId="20" fillId="0" borderId="0" xfId="0" applyFont="1" applyFill="1" applyAlignment="1"/>
  </cellXfs>
  <cellStyles count="5">
    <cellStyle name="Normal_Доходи" xfId="1"/>
    <cellStyle name="Звичайний_Додаток _ 3 зм_ни 4575" xfId="2"/>
    <cellStyle name="Обычный" xfId="0" builtinId="0"/>
    <cellStyle name="Обычный 2" xfId="3"/>
    <cellStyle name="Обычн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99"/>
  <sheetViews>
    <sheetView showZeros="0" tabSelected="1" view="pageBreakPreview" zoomScale="20" zoomScaleNormal="25" zoomScaleSheetLayoutView="20" workbookViewId="0">
      <pane xSplit="2" ySplit="11" topLeftCell="C84" activePane="bottomRight" state="frozen"/>
      <selection pane="topRight" activeCell="C1" sqref="C1"/>
      <selection pane="bottomLeft" activeCell="A14" sqref="A14"/>
      <selection pane="bottomRight" activeCell="B90" sqref="B90"/>
    </sheetView>
  </sheetViews>
  <sheetFormatPr defaultRowHeight="12.75" x14ac:dyDescent="0.2"/>
  <cols>
    <col min="1" max="1" width="52.28515625" style="2" customWidth="1"/>
    <col min="2" max="2" width="139.85546875" style="2" customWidth="1"/>
    <col min="3" max="3" width="132.7109375" style="2" customWidth="1"/>
    <col min="4" max="4" width="138.7109375" style="2" customWidth="1"/>
    <col min="5" max="5" width="168" style="2" customWidth="1"/>
    <col min="6" max="6" width="162.85546875" style="2" customWidth="1"/>
    <col min="7" max="7" width="153.5703125" style="2" customWidth="1"/>
    <col min="8" max="8" width="106.42578125" style="2" customWidth="1"/>
    <col min="9" max="9" width="90" style="2" customWidth="1"/>
    <col min="10" max="10" width="210" style="2" customWidth="1"/>
    <col min="11" max="12" width="62.140625" style="2" customWidth="1"/>
    <col min="13" max="13" width="82.140625" style="2" customWidth="1"/>
    <col min="14" max="14" width="110.7109375" style="2" customWidth="1"/>
    <col min="15" max="15" width="178.5703125" style="2" customWidth="1"/>
    <col min="16" max="16" width="94.28515625" style="2" customWidth="1"/>
    <col min="17" max="17" width="63.5703125" style="2" customWidth="1"/>
    <col min="18" max="18" width="72.140625" style="2" customWidth="1"/>
    <col min="19" max="19" width="57.85546875" style="2" customWidth="1"/>
    <col min="20" max="20" width="55" style="2" customWidth="1"/>
    <col min="21" max="22" width="83.5703125" style="2" customWidth="1"/>
    <col min="23" max="23" width="84.28515625" style="2" customWidth="1"/>
    <col min="24" max="24" width="77.85546875" style="2" customWidth="1"/>
    <col min="25" max="25" width="88.5703125" style="2" customWidth="1"/>
    <col min="26" max="26" width="205" style="2" customWidth="1"/>
    <col min="27" max="27" width="215" style="2" customWidth="1"/>
    <col min="28" max="28" width="100.7109375" style="2" customWidth="1"/>
    <col min="29" max="29" width="122.85546875" style="2" customWidth="1"/>
    <col min="30" max="30" width="105.7109375" style="2" customWidth="1"/>
    <col min="31" max="31" width="82.85546875" style="2" customWidth="1"/>
    <col min="32" max="32" width="75" style="2" customWidth="1"/>
    <col min="33" max="33" width="125" style="2" customWidth="1"/>
    <col min="34" max="34" width="153.5703125" style="2" customWidth="1"/>
    <col min="35" max="35" width="105.7109375" style="2" customWidth="1"/>
    <col min="36" max="36" width="76.28515625" style="2" customWidth="1"/>
    <col min="37" max="37" width="98.5703125" style="2" customWidth="1"/>
    <col min="38" max="38" width="133.5703125" style="2" customWidth="1"/>
    <col min="39" max="39" width="115" style="2" customWidth="1"/>
    <col min="40" max="40" width="148.5703125" style="2" customWidth="1"/>
    <col min="41" max="41" width="81.42578125" style="2" customWidth="1"/>
    <col min="42" max="42" width="107.85546875" style="2" customWidth="1"/>
    <col min="43" max="43" width="82.85546875" style="2" customWidth="1"/>
    <col min="44" max="44" width="91.85546875" style="2" customWidth="1"/>
    <col min="45" max="45" width="82" style="2" hidden="1" customWidth="1"/>
    <col min="46" max="46" width="67.7109375" style="2" customWidth="1"/>
    <col min="47" max="47" width="77.7109375" style="2" customWidth="1"/>
    <col min="48" max="48" width="133.42578125" style="2" customWidth="1"/>
    <col min="49" max="49" width="92.140625" style="2" hidden="1" customWidth="1"/>
    <col min="50" max="50" width="75.7109375" style="2" hidden="1" customWidth="1"/>
    <col min="51" max="51" width="77.140625" style="2" hidden="1" customWidth="1"/>
    <col min="52" max="52" width="117.85546875" style="2" hidden="1" customWidth="1"/>
    <col min="53" max="53" width="110" style="2" hidden="1" customWidth="1"/>
    <col min="54" max="54" width="97.85546875" style="2" hidden="1" customWidth="1"/>
    <col min="55" max="55" width="92.140625" style="2" hidden="1" customWidth="1"/>
    <col min="56" max="56" width="70" style="2" hidden="1" customWidth="1"/>
    <col min="57" max="57" width="80" style="2" hidden="1" customWidth="1"/>
    <col min="58" max="58" width="92.140625" style="2" customWidth="1"/>
    <col min="59" max="59" width="84.28515625" style="2" customWidth="1"/>
    <col min="60" max="60" width="120.7109375" style="2" customWidth="1"/>
    <col min="61" max="61" width="185" style="2" customWidth="1"/>
    <col min="62" max="62" width="107.85546875" style="2" customWidth="1"/>
    <col min="63" max="65" width="85.7109375" style="2" customWidth="1"/>
    <col min="66" max="66" width="102.85546875" style="2" customWidth="1"/>
    <col min="67" max="67" width="92.85546875" style="2" customWidth="1"/>
    <col min="68" max="69" width="90" style="2" customWidth="1"/>
    <col min="70" max="70" width="190.7109375" style="2" customWidth="1"/>
    <col min="71" max="71" width="111.42578125" style="2" customWidth="1"/>
    <col min="72" max="72" width="88.5703125" style="2" customWidth="1"/>
    <col min="73" max="73" width="79.28515625" style="2" customWidth="1"/>
    <col min="74" max="74" width="90.7109375" style="2" customWidth="1"/>
    <col min="75" max="75" width="87.140625" style="2" customWidth="1"/>
    <col min="76" max="77" width="9.140625" style="2"/>
    <col min="78" max="78" width="76.28515625" style="2" customWidth="1"/>
    <col min="79" max="79" width="59.140625" style="2" customWidth="1"/>
    <col min="80" max="16384" width="9.140625" style="2"/>
  </cols>
  <sheetData>
    <row r="1" spans="1:80" ht="69" x14ac:dyDescent="0.85">
      <c r="A1" s="1"/>
      <c r="B1" s="1"/>
      <c r="C1" s="1"/>
      <c r="F1" s="30" t="s">
        <v>241</v>
      </c>
      <c r="AK1" s="3"/>
      <c r="AL1" s="3"/>
      <c r="AM1" s="3"/>
      <c r="AN1" s="3"/>
      <c r="AO1" s="3"/>
      <c r="AP1" s="3"/>
      <c r="AQ1" s="3"/>
    </row>
    <row r="2" spans="1:80" ht="69" x14ac:dyDescent="0.85">
      <c r="A2" s="1"/>
      <c r="B2" s="1"/>
      <c r="C2" s="1"/>
      <c r="F2" s="30" t="s">
        <v>173</v>
      </c>
      <c r="AK2" s="3"/>
      <c r="AL2" s="3"/>
      <c r="AM2" s="3"/>
      <c r="AN2" s="3"/>
      <c r="AO2" s="3"/>
      <c r="AP2" s="3"/>
      <c r="AQ2" s="3"/>
    </row>
    <row r="3" spans="1:80" ht="90" customHeight="1" x14ac:dyDescent="0.85">
      <c r="A3" s="6"/>
      <c r="C3" s="53" t="s">
        <v>139</v>
      </c>
      <c r="D3" s="53"/>
      <c r="E3" s="53"/>
      <c r="F3" s="53"/>
      <c r="G3" s="7"/>
      <c r="H3" s="7"/>
      <c r="I3" s="7"/>
      <c r="J3" s="7"/>
      <c r="K3" s="7"/>
      <c r="L3" s="7"/>
      <c r="M3" s="7"/>
      <c r="N3" s="7"/>
      <c r="O3" s="7"/>
      <c r="P3" s="39"/>
      <c r="Q3" s="39"/>
      <c r="R3" s="39"/>
      <c r="S3" s="39"/>
      <c r="T3" s="39"/>
      <c r="U3" s="39"/>
      <c r="V3" s="39"/>
      <c r="W3" s="39"/>
      <c r="X3" s="7"/>
      <c r="Y3" s="7"/>
      <c r="Z3" s="7"/>
      <c r="AA3" s="7"/>
      <c r="AB3" s="7"/>
      <c r="AC3" s="7"/>
      <c r="AD3" s="7"/>
      <c r="AE3" s="7"/>
      <c r="AF3" s="7"/>
      <c r="AG3" s="7"/>
      <c r="AH3" s="7"/>
      <c r="AI3" s="7"/>
      <c r="AJ3" s="5"/>
      <c r="AK3" s="5"/>
      <c r="AL3" s="5"/>
      <c r="AM3" s="5"/>
      <c r="AN3" s="5"/>
      <c r="AO3" s="5"/>
      <c r="AP3" s="5"/>
      <c r="AQ3" s="5"/>
      <c r="AR3" s="4"/>
    </row>
    <row r="4" spans="1:80" s="10" customFormat="1" ht="62.25" customHeight="1" x14ac:dyDescent="1">
      <c r="A4" s="8"/>
      <c r="B4" s="8"/>
      <c r="C4" s="8"/>
      <c r="D4" s="9"/>
      <c r="E4" s="8"/>
      <c r="F4" s="8" t="s">
        <v>0</v>
      </c>
      <c r="G4" s="8"/>
      <c r="H4" s="8"/>
      <c r="I4" s="8"/>
      <c r="J4" s="8" t="s">
        <v>0</v>
      </c>
      <c r="K4" s="8"/>
      <c r="L4" s="8"/>
      <c r="M4" s="8"/>
      <c r="N4" s="8"/>
      <c r="O4" s="8" t="s">
        <v>0</v>
      </c>
      <c r="P4" s="40"/>
      <c r="Q4" s="40"/>
      <c r="R4" s="40"/>
      <c r="S4" s="40"/>
      <c r="T4" s="40"/>
      <c r="U4" s="40"/>
      <c r="V4" s="40"/>
      <c r="W4" s="40" t="s">
        <v>0</v>
      </c>
      <c r="Y4" s="8"/>
      <c r="Z4" s="8"/>
      <c r="AA4" s="8" t="s">
        <v>0</v>
      </c>
      <c r="AB4" s="8"/>
      <c r="AC4" s="8"/>
      <c r="AD4" s="8"/>
      <c r="AE4" s="8"/>
      <c r="AF4" s="8"/>
      <c r="AG4" s="8" t="s">
        <v>0</v>
      </c>
      <c r="AH4" s="8"/>
      <c r="AI4" s="8"/>
      <c r="AJ4" s="8"/>
      <c r="AL4" s="8" t="s">
        <v>0</v>
      </c>
      <c r="AM4" s="8"/>
      <c r="AN4" s="8"/>
      <c r="AO4" s="8"/>
      <c r="AP4" s="8"/>
      <c r="AQ4" s="8"/>
      <c r="AR4" s="8" t="s">
        <v>0</v>
      </c>
      <c r="BH4" s="8" t="s">
        <v>0</v>
      </c>
      <c r="BN4" s="8" t="s">
        <v>0</v>
      </c>
      <c r="BR4" s="8" t="s">
        <v>0</v>
      </c>
      <c r="BW4" s="8" t="s">
        <v>0</v>
      </c>
    </row>
    <row r="5" spans="1:80" s="11" customFormat="1" ht="168.75" customHeight="1" x14ac:dyDescent="0.2">
      <c r="A5" s="49" t="s">
        <v>1</v>
      </c>
      <c r="B5" s="49" t="s">
        <v>54</v>
      </c>
      <c r="C5" s="43" t="s">
        <v>2</v>
      </c>
      <c r="D5" s="49" t="s">
        <v>91</v>
      </c>
      <c r="E5" s="49"/>
      <c r="F5" s="49"/>
      <c r="G5" s="49" t="s">
        <v>91</v>
      </c>
      <c r="H5" s="49"/>
      <c r="I5" s="49"/>
      <c r="J5" s="49"/>
      <c r="K5" s="49" t="s">
        <v>91</v>
      </c>
      <c r="L5" s="49"/>
      <c r="M5" s="49"/>
      <c r="N5" s="49"/>
      <c r="O5" s="49"/>
      <c r="P5" s="49" t="s">
        <v>221</v>
      </c>
      <c r="Q5" s="49"/>
      <c r="R5" s="49"/>
      <c r="S5" s="49"/>
      <c r="T5" s="49"/>
      <c r="U5" s="49"/>
      <c r="V5" s="49"/>
      <c r="W5" s="49"/>
      <c r="X5" s="49" t="s">
        <v>221</v>
      </c>
      <c r="Y5" s="49"/>
      <c r="Z5" s="49"/>
      <c r="AA5" s="49"/>
      <c r="AB5" s="49" t="s">
        <v>2</v>
      </c>
      <c r="AC5" s="49"/>
      <c r="AD5" s="49"/>
      <c r="AE5" s="49"/>
      <c r="AF5" s="49"/>
      <c r="AG5" s="49"/>
      <c r="AH5" s="49" t="s">
        <v>2</v>
      </c>
      <c r="AI5" s="49"/>
      <c r="AJ5" s="49" t="s">
        <v>53</v>
      </c>
      <c r="AK5" s="49"/>
      <c r="AL5" s="49"/>
      <c r="AM5" s="49" t="s">
        <v>53</v>
      </c>
      <c r="AN5" s="49"/>
      <c r="AO5" s="49"/>
      <c r="AP5" s="49"/>
      <c r="AQ5" s="49"/>
      <c r="AR5" s="49" t="s">
        <v>3</v>
      </c>
      <c r="AS5" s="44"/>
      <c r="AT5" s="49" t="s">
        <v>151</v>
      </c>
      <c r="AU5" s="49"/>
      <c r="AV5" s="49"/>
      <c r="AW5" s="45"/>
      <c r="AX5" s="45"/>
      <c r="AY5" s="45"/>
      <c r="AZ5" s="49" t="s">
        <v>151</v>
      </c>
      <c r="BA5" s="49"/>
      <c r="BB5" s="49"/>
      <c r="BC5" s="49"/>
      <c r="BD5" s="49"/>
      <c r="BE5" s="49"/>
      <c r="BF5" s="49" t="s">
        <v>151</v>
      </c>
      <c r="BG5" s="49"/>
      <c r="BH5" s="49"/>
      <c r="BI5" s="49" t="s">
        <v>151</v>
      </c>
      <c r="BJ5" s="49"/>
      <c r="BK5" s="49"/>
      <c r="BL5" s="49"/>
      <c r="BM5" s="49"/>
      <c r="BN5" s="49"/>
      <c r="BO5" s="49" t="s">
        <v>151</v>
      </c>
      <c r="BP5" s="49"/>
      <c r="BQ5" s="49"/>
      <c r="BR5" s="49"/>
      <c r="BS5" s="49" t="s">
        <v>151</v>
      </c>
      <c r="BT5" s="49"/>
      <c r="BU5" s="49"/>
      <c r="BV5" s="49"/>
      <c r="BW5" s="49" t="s">
        <v>3</v>
      </c>
      <c r="BX5" s="34"/>
    </row>
    <row r="6" spans="1:80" s="11" customFormat="1" ht="76.5" customHeight="1" x14ac:dyDescent="0.2">
      <c r="A6" s="49"/>
      <c r="B6" s="49"/>
      <c r="C6" s="49" t="s">
        <v>4</v>
      </c>
      <c r="D6" s="49"/>
      <c r="E6" s="49"/>
      <c r="F6" s="49"/>
      <c r="G6" s="49" t="s">
        <v>4</v>
      </c>
      <c r="H6" s="49"/>
      <c r="I6" s="49"/>
      <c r="J6" s="49"/>
      <c r="K6" s="49" t="s">
        <v>4</v>
      </c>
      <c r="L6" s="49"/>
      <c r="M6" s="49"/>
      <c r="N6" s="49"/>
      <c r="O6" s="49"/>
      <c r="P6" s="49" t="s">
        <v>4</v>
      </c>
      <c r="Q6" s="49"/>
      <c r="R6" s="49"/>
      <c r="S6" s="49"/>
      <c r="T6" s="49"/>
      <c r="U6" s="49"/>
      <c r="V6" s="49"/>
      <c r="W6" s="35" t="s">
        <v>5</v>
      </c>
      <c r="X6" s="49" t="s">
        <v>4</v>
      </c>
      <c r="Y6" s="49"/>
      <c r="Z6" s="49"/>
      <c r="AA6" s="35" t="s">
        <v>5</v>
      </c>
      <c r="AB6" s="49" t="s">
        <v>4</v>
      </c>
      <c r="AC6" s="49"/>
      <c r="AD6" s="49"/>
      <c r="AE6" s="49" t="s">
        <v>5</v>
      </c>
      <c r="AF6" s="49"/>
      <c r="AG6" s="49"/>
      <c r="AH6" s="49" t="s">
        <v>5</v>
      </c>
      <c r="AI6" s="49"/>
      <c r="AJ6" s="49" t="s">
        <v>4</v>
      </c>
      <c r="AK6" s="49"/>
      <c r="AL6" s="49"/>
      <c r="AM6" s="35" t="s">
        <v>4</v>
      </c>
      <c r="AN6" s="49" t="s">
        <v>5</v>
      </c>
      <c r="AO6" s="49"/>
      <c r="AP6" s="49"/>
      <c r="AQ6" s="49"/>
      <c r="AR6" s="49"/>
      <c r="AS6" s="44"/>
      <c r="AT6" s="49" t="s">
        <v>4</v>
      </c>
      <c r="AU6" s="49"/>
      <c r="AV6" s="35" t="s">
        <v>5</v>
      </c>
      <c r="AW6" s="49" t="s">
        <v>4</v>
      </c>
      <c r="AX6" s="49"/>
      <c r="AY6" s="49"/>
      <c r="AZ6" s="49" t="s">
        <v>4</v>
      </c>
      <c r="BA6" s="49"/>
      <c r="BB6" s="49"/>
      <c r="BC6" s="49"/>
      <c r="BD6" s="49"/>
      <c r="BE6" s="49"/>
      <c r="BF6" s="49" t="s">
        <v>4</v>
      </c>
      <c r="BG6" s="49"/>
      <c r="BH6" s="49"/>
      <c r="BI6" s="49" t="s">
        <v>4</v>
      </c>
      <c r="BJ6" s="49"/>
      <c r="BK6" s="49"/>
      <c r="BL6" s="49"/>
      <c r="BM6" s="49"/>
      <c r="BN6" s="49"/>
      <c r="BO6" s="49" t="s">
        <v>5</v>
      </c>
      <c r="BP6" s="49"/>
      <c r="BQ6" s="49"/>
      <c r="BR6" s="49"/>
      <c r="BS6" s="49" t="s">
        <v>5</v>
      </c>
      <c r="BT6" s="49"/>
      <c r="BU6" s="49"/>
      <c r="BV6" s="49"/>
      <c r="BW6" s="49"/>
      <c r="BX6" s="34"/>
    </row>
    <row r="7" spans="1:80" s="11" customFormat="1" ht="113.25" customHeight="1" x14ac:dyDescent="0.2">
      <c r="A7" s="49"/>
      <c r="B7" s="49"/>
      <c r="C7" s="27"/>
      <c r="D7" s="50" t="s">
        <v>6</v>
      </c>
      <c r="E7" s="50"/>
      <c r="F7" s="50"/>
      <c r="G7" s="12" t="s">
        <v>6</v>
      </c>
      <c r="H7" s="50" t="s">
        <v>226</v>
      </c>
      <c r="I7" s="50"/>
      <c r="J7" s="50"/>
      <c r="K7" s="50" t="s">
        <v>226</v>
      </c>
      <c r="L7" s="50"/>
      <c r="M7" s="50"/>
      <c r="N7" s="50"/>
      <c r="O7" s="50"/>
      <c r="P7" s="50" t="s">
        <v>226</v>
      </c>
      <c r="Q7" s="50"/>
      <c r="R7" s="50"/>
      <c r="S7" s="50"/>
      <c r="T7" s="50"/>
      <c r="U7" s="50"/>
      <c r="V7" s="50"/>
      <c r="W7" s="36"/>
      <c r="X7" s="50" t="s">
        <v>226</v>
      </c>
      <c r="Y7" s="50"/>
      <c r="Z7" s="50"/>
      <c r="AA7" s="50"/>
      <c r="AB7" s="50" t="s">
        <v>7</v>
      </c>
      <c r="AC7" s="50"/>
      <c r="AD7" s="50"/>
      <c r="AE7" s="50"/>
      <c r="AF7" s="50"/>
      <c r="AG7" s="50"/>
      <c r="AH7" s="50" t="s">
        <v>7</v>
      </c>
      <c r="AI7" s="50"/>
      <c r="AJ7" s="36"/>
      <c r="AK7" s="50" t="s">
        <v>8</v>
      </c>
      <c r="AL7" s="50"/>
      <c r="AM7" s="50" t="s">
        <v>8</v>
      </c>
      <c r="AN7" s="50"/>
      <c r="AO7" s="50"/>
      <c r="AP7" s="50"/>
      <c r="AQ7" s="50"/>
      <c r="AR7" s="49"/>
      <c r="AS7" s="45"/>
      <c r="AT7" s="49"/>
      <c r="AU7" s="49"/>
      <c r="AV7" s="35" t="s">
        <v>152</v>
      </c>
      <c r="AW7" s="48" t="s">
        <v>8</v>
      </c>
      <c r="AX7" s="48"/>
      <c r="AY7" s="48"/>
      <c r="AZ7" s="48" t="s">
        <v>8</v>
      </c>
      <c r="BA7" s="48"/>
      <c r="BB7" s="48"/>
      <c r="BC7" s="48"/>
      <c r="BD7" s="48"/>
      <c r="BE7" s="48"/>
      <c r="BF7" s="48" t="s">
        <v>8</v>
      </c>
      <c r="BG7" s="48"/>
      <c r="BH7" s="48"/>
      <c r="BI7" s="48" t="s">
        <v>8</v>
      </c>
      <c r="BJ7" s="48"/>
      <c r="BK7" s="48"/>
      <c r="BL7" s="48"/>
      <c r="BM7" s="48"/>
      <c r="BN7" s="48"/>
      <c r="BO7" s="48" t="s">
        <v>8</v>
      </c>
      <c r="BP7" s="48"/>
      <c r="BQ7" s="48"/>
      <c r="BR7" s="48"/>
      <c r="BS7" s="48" t="s">
        <v>8</v>
      </c>
      <c r="BT7" s="48"/>
      <c r="BU7" s="48"/>
      <c r="BV7" s="48"/>
      <c r="BW7" s="49"/>
      <c r="BX7" s="34"/>
    </row>
    <row r="8" spans="1:80" s="11" customFormat="1" ht="69.75" customHeight="1" x14ac:dyDescent="0.2">
      <c r="A8" s="49"/>
      <c r="B8" s="49"/>
      <c r="C8" s="12" t="s">
        <v>127</v>
      </c>
      <c r="D8" s="12" t="s">
        <v>122</v>
      </c>
      <c r="E8" s="12" t="s">
        <v>123</v>
      </c>
      <c r="F8" s="12" t="s">
        <v>124</v>
      </c>
      <c r="G8" s="12" t="s">
        <v>121</v>
      </c>
      <c r="H8" s="12" t="s">
        <v>224</v>
      </c>
      <c r="I8" s="12" t="s">
        <v>230</v>
      </c>
      <c r="J8" s="12" t="s">
        <v>228</v>
      </c>
      <c r="K8" s="50" t="s">
        <v>142</v>
      </c>
      <c r="L8" s="50"/>
      <c r="M8" s="50"/>
      <c r="N8" s="50"/>
      <c r="O8" s="50"/>
      <c r="P8" s="50" t="s">
        <v>186</v>
      </c>
      <c r="Q8" s="50"/>
      <c r="R8" s="50"/>
      <c r="S8" s="50"/>
      <c r="T8" s="50"/>
      <c r="U8" s="50"/>
      <c r="V8" s="50"/>
      <c r="W8" s="50"/>
      <c r="X8" s="12" t="s">
        <v>140</v>
      </c>
      <c r="Y8" s="12" t="s">
        <v>219</v>
      </c>
      <c r="Z8" s="12" t="s">
        <v>234</v>
      </c>
      <c r="AA8" s="12" t="s">
        <v>228</v>
      </c>
      <c r="AB8" s="12" t="s">
        <v>175</v>
      </c>
      <c r="AC8" s="12" t="s">
        <v>184</v>
      </c>
      <c r="AD8" s="12" t="s">
        <v>176</v>
      </c>
      <c r="AE8" s="50" t="s">
        <v>125</v>
      </c>
      <c r="AF8" s="50"/>
      <c r="AG8" s="12" t="s">
        <v>175</v>
      </c>
      <c r="AH8" s="12" t="s">
        <v>184</v>
      </c>
      <c r="AI8" s="12" t="s">
        <v>176</v>
      </c>
      <c r="AJ8" s="12" t="s">
        <v>131</v>
      </c>
      <c r="AK8" s="12" t="s">
        <v>235</v>
      </c>
      <c r="AL8" s="12" t="s">
        <v>235</v>
      </c>
      <c r="AM8" s="12" t="s">
        <v>236</v>
      </c>
      <c r="AN8" s="12" t="s">
        <v>235</v>
      </c>
      <c r="AO8" s="12" t="s">
        <v>235</v>
      </c>
      <c r="AP8" s="12" t="s">
        <v>236</v>
      </c>
      <c r="AQ8" s="12" t="s">
        <v>237</v>
      </c>
      <c r="AR8" s="49"/>
      <c r="AS8" s="12" t="s">
        <v>153</v>
      </c>
      <c r="AT8" s="12" t="s">
        <v>154</v>
      </c>
      <c r="AU8" s="12" t="s">
        <v>155</v>
      </c>
      <c r="AV8" s="12" t="s">
        <v>156</v>
      </c>
      <c r="AW8" s="48" t="s">
        <v>157</v>
      </c>
      <c r="AX8" s="48"/>
      <c r="AY8" s="48"/>
      <c r="AZ8" s="48" t="s">
        <v>157</v>
      </c>
      <c r="BA8" s="48"/>
      <c r="BB8" s="48"/>
      <c r="BC8" s="48"/>
      <c r="BD8" s="48"/>
      <c r="BE8" s="48"/>
      <c r="BF8" s="52" t="s">
        <v>157</v>
      </c>
      <c r="BG8" s="52"/>
      <c r="BH8" s="52"/>
      <c r="BI8" s="48" t="s">
        <v>157</v>
      </c>
      <c r="BJ8" s="48"/>
      <c r="BK8" s="48"/>
      <c r="BL8" s="48"/>
      <c r="BM8" s="48"/>
      <c r="BN8" s="48"/>
      <c r="BO8" s="48" t="s">
        <v>157</v>
      </c>
      <c r="BP8" s="48"/>
      <c r="BQ8" s="48"/>
      <c r="BR8" s="48"/>
      <c r="BS8" s="48" t="s">
        <v>157</v>
      </c>
      <c r="BT8" s="48"/>
      <c r="BU8" s="48"/>
      <c r="BV8" s="48"/>
      <c r="BW8" s="49"/>
      <c r="BX8" s="34"/>
    </row>
    <row r="9" spans="1:80" s="11" customFormat="1" ht="81.75" customHeight="1" x14ac:dyDescent="0.2">
      <c r="A9" s="49"/>
      <c r="B9" s="49"/>
      <c r="C9" s="49" t="s">
        <v>126</v>
      </c>
      <c r="D9" s="49" t="s">
        <v>258</v>
      </c>
      <c r="E9" s="49" t="s">
        <v>14</v>
      </c>
      <c r="F9" s="49" t="s">
        <v>120</v>
      </c>
      <c r="G9" s="49" t="s">
        <v>243</v>
      </c>
      <c r="H9" s="49" t="s">
        <v>225</v>
      </c>
      <c r="I9" s="49" t="s">
        <v>231</v>
      </c>
      <c r="J9" s="49" t="s">
        <v>229</v>
      </c>
      <c r="K9" s="49" t="s">
        <v>143</v>
      </c>
      <c r="L9" s="48" t="s">
        <v>144</v>
      </c>
      <c r="M9" s="48"/>
      <c r="N9" s="48"/>
      <c r="O9" s="48"/>
      <c r="P9" s="49" t="s">
        <v>187</v>
      </c>
      <c r="Q9" s="48" t="s">
        <v>144</v>
      </c>
      <c r="R9" s="48"/>
      <c r="S9" s="48"/>
      <c r="T9" s="48"/>
      <c r="U9" s="48"/>
      <c r="V9" s="48"/>
      <c r="W9" s="48"/>
      <c r="X9" s="49" t="s">
        <v>141</v>
      </c>
      <c r="Y9" s="49" t="s">
        <v>220</v>
      </c>
      <c r="Z9" s="49" t="s">
        <v>245</v>
      </c>
      <c r="AA9" s="49" t="s">
        <v>229</v>
      </c>
      <c r="AB9" s="49" t="s">
        <v>174</v>
      </c>
      <c r="AC9" s="49" t="s">
        <v>185</v>
      </c>
      <c r="AD9" s="49" t="s">
        <v>177</v>
      </c>
      <c r="AE9" s="49" t="s">
        <v>9</v>
      </c>
      <c r="AF9" s="49" t="s">
        <v>10</v>
      </c>
      <c r="AG9" s="49" t="s">
        <v>174</v>
      </c>
      <c r="AH9" s="49" t="s">
        <v>246</v>
      </c>
      <c r="AI9" s="49" t="s">
        <v>177</v>
      </c>
      <c r="AJ9" s="49" t="s">
        <v>130</v>
      </c>
      <c r="AK9" s="49" t="s">
        <v>129</v>
      </c>
      <c r="AL9" s="49" t="s">
        <v>132</v>
      </c>
      <c r="AM9" s="49" t="s">
        <v>92</v>
      </c>
      <c r="AN9" s="49" t="s">
        <v>133</v>
      </c>
      <c r="AO9" s="49" t="s">
        <v>247</v>
      </c>
      <c r="AP9" s="49" t="s">
        <v>136</v>
      </c>
      <c r="AQ9" s="49" t="s">
        <v>138</v>
      </c>
      <c r="AR9" s="49"/>
      <c r="AS9" s="49" t="s">
        <v>158</v>
      </c>
      <c r="AT9" s="49" t="s">
        <v>159</v>
      </c>
      <c r="AU9" s="49" t="s">
        <v>248</v>
      </c>
      <c r="AV9" s="49" t="s">
        <v>160</v>
      </c>
      <c r="AW9" s="49" t="s">
        <v>161</v>
      </c>
      <c r="AX9" s="49" t="s">
        <v>162</v>
      </c>
      <c r="AY9" s="49" t="s">
        <v>163</v>
      </c>
      <c r="AZ9" s="49" t="s">
        <v>164</v>
      </c>
      <c r="BA9" s="49" t="s">
        <v>165</v>
      </c>
      <c r="BB9" s="49" t="s">
        <v>166</v>
      </c>
      <c r="BC9" s="49" t="s">
        <v>167</v>
      </c>
      <c r="BD9" s="49" t="s">
        <v>168</v>
      </c>
      <c r="BE9" s="49" t="s">
        <v>169</v>
      </c>
      <c r="BF9" s="49" t="s">
        <v>170</v>
      </c>
      <c r="BG9" s="49" t="s">
        <v>249</v>
      </c>
      <c r="BH9" s="49" t="s">
        <v>250</v>
      </c>
      <c r="BI9" s="49" t="s">
        <v>251</v>
      </c>
      <c r="BJ9" s="49" t="s">
        <v>252</v>
      </c>
      <c r="BK9" s="49" t="s">
        <v>223</v>
      </c>
      <c r="BL9" s="49" t="s">
        <v>240</v>
      </c>
      <c r="BM9" s="35" t="s">
        <v>239</v>
      </c>
      <c r="BN9" s="49" t="s">
        <v>253</v>
      </c>
      <c r="BO9" s="49" t="s">
        <v>170</v>
      </c>
      <c r="BP9" s="49" t="s">
        <v>249</v>
      </c>
      <c r="BQ9" s="49" t="s">
        <v>254</v>
      </c>
      <c r="BR9" s="49" t="s">
        <v>255</v>
      </c>
      <c r="BS9" s="49" t="s">
        <v>256</v>
      </c>
      <c r="BT9" s="49" t="s">
        <v>238</v>
      </c>
      <c r="BU9" s="49" t="s">
        <v>222</v>
      </c>
      <c r="BV9" s="49" t="s">
        <v>257</v>
      </c>
      <c r="BW9" s="49"/>
      <c r="BX9" s="34"/>
    </row>
    <row r="10" spans="1:80" s="11" customFormat="1" ht="283.5" customHeight="1" x14ac:dyDescent="0.2">
      <c r="A10" s="49"/>
      <c r="B10" s="49"/>
      <c r="C10" s="49"/>
      <c r="D10" s="49"/>
      <c r="E10" s="49"/>
      <c r="F10" s="49"/>
      <c r="G10" s="49"/>
      <c r="H10" s="49"/>
      <c r="I10" s="49"/>
      <c r="J10" s="49"/>
      <c r="K10" s="49"/>
      <c r="L10" s="50" t="s">
        <v>232</v>
      </c>
      <c r="M10" s="50" t="s">
        <v>233</v>
      </c>
      <c r="N10" s="50" t="s">
        <v>259</v>
      </c>
      <c r="O10" s="50" t="s">
        <v>145</v>
      </c>
      <c r="P10" s="49"/>
      <c r="Q10" s="50" t="s">
        <v>188</v>
      </c>
      <c r="R10" s="50" t="s">
        <v>189</v>
      </c>
      <c r="S10" s="50" t="s">
        <v>190</v>
      </c>
      <c r="T10" s="50" t="s">
        <v>191</v>
      </c>
      <c r="U10" s="50" t="s">
        <v>192</v>
      </c>
      <c r="V10" s="50" t="s">
        <v>244</v>
      </c>
      <c r="W10" s="50" t="s">
        <v>244</v>
      </c>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t="s">
        <v>222</v>
      </c>
      <c r="BN10" s="49"/>
      <c r="BO10" s="49"/>
      <c r="BP10" s="49"/>
      <c r="BQ10" s="49"/>
      <c r="BR10" s="49"/>
      <c r="BS10" s="49"/>
      <c r="BT10" s="49"/>
      <c r="BU10" s="49"/>
      <c r="BV10" s="49"/>
      <c r="BW10" s="49"/>
      <c r="BX10" s="34"/>
    </row>
    <row r="11" spans="1:80" s="13" customFormat="1" ht="308.25" customHeight="1" x14ac:dyDescent="0.2">
      <c r="A11" s="49"/>
      <c r="B11" s="49"/>
      <c r="C11" s="49"/>
      <c r="D11" s="49"/>
      <c r="E11" s="49"/>
      <c r="F11" s="49"/>
      <c r="G11" s="49"/>
      <c r="H11" s="49"/>
      <c r="I11" s="49"/>
      <c r="J11" s="49"/>
      <c r="K11" s="49"/>
      <c r="L11" s="50"/>
      <c r="M11" s="50"/>
      <c r="N11" s="50"/>
      <c r="O11" s="50"/>
      <c r="P11" s="49"/>
      <c r="Q11" s="50"/>
      <c r="R11" s="50"/>
      <c r="S11" s="50"/>
      <c r="T11" s="50"/>
      <c r="U11" s="50"/>
      <c r="V11" s="50"/>
      <c r="W11" s="50"/>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row>
    <row r="12" spans="1:80" ht="74.25" customHeight="1" x14ac:dyDescent="0.8">
      <c r="A12" s="14" t="s">
        <v>17</v>
      </c>
      <c r="B12" s="15" t="s">
        <v>57</v>
      </c>
      <c r="C12" s="42"/>
      <c r="D12" s="42">
        <v>25323400</v>
      </c>
      <c r="E12" s="42">
        <f>15007100+190000-524900-470000-137136.88</f>
        <v>14065063.119999999</v>
      </c>
      <c r="F12" s="42">
        <f>3700-2110</f>
        <v>1590</v>
      </c>
      <c r="G12" s="41">
        <v>64506</v>
      </c>
      <c r="H12" s="41"/>
      <c r="I12" s="41"/>
      <c r="J12" s="41">
        <v>110183.65</v>
      </c>
      <c r="K12" s="41"/>
      <c r="L12" s="41"/>
      <c r="M12" s="41"/>
      <c r="N12" s="41"/>
      <c r="O12" s="41"/>
      <c r="P12" s="41">
        <f>Q12+R12+S12+T12+U12+W12+V12</f>
        <v>0</v>
      </c>
      <c r="Q12" s="41"/>
      <c r="R12" s="41"/>
      <c r="S12" s="41"/>
      <c r="T12" s="41">
        <f>384614-384614</f>
        <v>0</v>
      </c>
      <c r="U12" s="41"/>
      <c r="V12" s="41"/>
      <c r="W12" s="41"/>
      <c r="X12" s="41">
        <f>23496+95479</f>
        <v>118975</v>
      </c>
      <c r="Y12" s="41">
        <v>246581</v>
      </c>
      <c r="Z12" s="41"/>
      <c r="AA12" s="41"/>
      <c r="AB12" s="41"/>
      <c r="AC12" s="41"/>
      <c r="AD12" s="41"/>
      <c r="AE12" s="41"/>
      <c r="AF12" s="41"/>
      <c r="AG12" s="41"/>
      <c r="AH12" s="41"/>
      <c r="AI12" s="41"/>
      <c r="AJ12" s="41"/>
      <c r="AK12" s="41">
        <v>520000</v>
      </c>
      <c r="AL12" s="41"/>
      <c r="AM12" s="41"/>
      <c r="AN12" s="41"/>
      <c r="AO12" s="41">
        <v>400000</v>
      </c>
      <c r="AP12" s="41"/>
      <c r="AQ12" s="41"/>
      <c r="AR12" s="41">
        <f>SUM(C12:AQ12)-N12-O12-Q12-R12-S12-T12-U12-W12-M12-L12-V12</f>
        <v>40850298.769999996</v>
      </c>
      <c r="AS12" s="41"/>
      <c r="AT12" s="41"/>
      <c r="AU12" s="41"/>
      <c r="AV12" s="41"/>
      <c r="AW12" s="41"/>
      <c r="AX12" s="41"/>
      <c r="AY12" s="41"/>
      <c r="AZ12" s="41"/>
      <c r="BA12" s="41"/>
      <c r="BB12" s="41"/>
      <c r="BC12" s="41"/>
      <c r="BD12" s="41"/>
      <c r="BE12" s="41"/>
      <c r="BF12" s="41">
        <v>23000</v>
      </c>
      <c r="BG12" s="41"/>
      <c r="BH12" s="41"/>
      <c r="BI12" s="41"/>
      <c r="BJ12" s="41"/>
      <c r="BK12" s="41"/>
      <c r="BL12" s="41"/>
      <c r="BM12" s="41"/>
      <c r="BN12" s="41"/>
      <c r="BO12" s="41"/>
      <c r="BP12" s="41"/>
      <c r="BQ12" s="41"/>
      <c r="BR12" s="41"/>
      <c r="BS12" s="41"/>
      <c r="BT12" s="41"/>
      <c r="BU12" s="41"/>
      <c r="BV12" s="41"/>
      <c r="BW12" s="41">
        <f>SUM(AT12:BV12)-BM12</f>
        <v>23000</v>
      </c>
    </row>
    <row r="13" spans="1:80" ht="74.25" customHeight="1" x14ac:dyDescent="0.8">
      <c r="A13" s="14" t="s">
        <v>18</v>
      </c>
      <c r="B13" s="15" t="s">
        <v>137</v>
      </c>
      <c r="C13" s="32"/>
      <c r="D13" s="32">
        <v>1016902400</v>
      </c>
      <c r="E13" s="32">
        <f>521748200+61350000+13544000+7592600+1166200+42437400-5790000-5406566.02</f>
        <v>636641833.98000002</v>
      </c>
      <c r="F13" s="32">
        <f>737000+60500</f>
        <v>797500</v>
      </c>
      <c r="G13" s="31">
        <v>10861151</v>
      </c>
      <c r="H13" s="31"/>
      <c r="I13" s="31">
        <f>5000000</f>
        <v>5000000</v>
      </c>
      <c r="J13" s="31"/>
      <c r="K13" s="31"/>
      <c r="L13" s="31"/>
      <c r="M13" s="31"/>
      <c r="N13" s="31"/>
      <c r="O13" s="31"/>
      <c r="P13" s="31">
        <f t="shared" ref="P13:P76" si="0">Q13+R13+S13+T13+U13+W13+V13</f>
        <v>9525000</v>
      </c>
      <c r="Q13" s="31">
        <v>150000</v>
      </c>
      <c r="R13" s="31"/>
      <c r="S13" s="31"/>
      <c r="T13" s="31">
        <f>7692352+2307648-625000</f>
        <v>9375000</v>
      </c>
      <c r="U13" s="31"/>
      <c r="V13" s="31"/>
      <c r="W13" s="31"/>
      <c r="X13" s="31">
        <f>1903179+8484379</f>
        <v>10387558</v>
      </c>
      <c r="Y13" s="31">
        <v>14708567</v>
      </c>
      <c r="Z13" s="31">
        <v>6684916</v>
      </c>
      <c r="AA13" s="31"/>
      <c r="AB13" s="31"/>
      <c r="AC13" s="31"/>
      <c r="AD13" s="31"/>
      <c r="AE13" s="31"/>
      <c r="AF13" s="31"/>
      <c r="AG13" s="31"/>
      <c r="AH13" s="31"/>
      <c r="AI13" s="31"/>
      <c r="AJ13" s="31"/>
      <c r="AK13" s="31">
        <f>13258000-95000</f>
        <v>13163000</v>
      </c>
      <c r="AL13" s="31"/>
      <c r="AM13" s="31"/>
      <c r="AN13" s="31"/>
      <c r="AO13" s="31"/>
      <c r="AP13" s="31"/>
      <c r="AQ13" s="31"/>
      <c r="AR13" s="31">
        <f t="shared" ref="AR13:AR76" si="1">SUM(C13:AQ13)-N13-O13-Q13-R13-S13-T13-U13-W13-M13-L13-V13</f>
        <v>1724671925.98</v>
      </c>
      <c r="AS13" s="31"/>
      <c r="AT13" s="31"/>
      <c r="AU13" s="31"/>
      <c r="AV13" s="31">
        <f>5000000</f>
        <v>5000000</v>
      </c>
      <c r="AW13" s="31"/>
      <c r="AX13" s="31"/>
      <c r="AY13" s="31"/>
      <c r="AZ13" s="31"/>
      <c r="BA13" s="31"/>
      <c r="BB13" s="31"/>
      <c r="BC13" s="31"/>
      <c r="BD13" s="31"/>
      <c r="BE13" s="31"/>
      <c r="BF13" s="31"/>
      <c r="BG13" s="31">
        <f>6250+49522</f>
        <v>55772</v>
      </c>
      <c r="BH13" s="31"/>
      <c r="BI13" s="31">
        <v>272300</v>
      </c>
      <c r="BJ13" s="31"/>
      <c r="BK13" s="31">
        <v>1350000</v>
      </c>
      <c r="BL13" s="31"/>
      <c r="BM13" s="31"/>
      <c r="BN13" s="31">
        <f>2150000</f>
        <v>2150000</v>
      </c>
      <c r="BO13" s="31">
        <f>1380400+587600</f>
        <v>1968000</v>
      </c>
      <c r="BP13" s="31">
        <f>120100+150000+185054+21488</f>
        <v>476642</v>
      </c>
      <c r="BQ13" s="31"/>
      <c r="BR13" s="31">
        <v>727700</v>
      </c>
      <c r="BS13" s="31"/>
      <c r="BT13" s="31">
        <v>5000000</v>
      </c>
      <c r="BU13" s="31"/>
      <c r="BV13" s="31">
        <f>7500000</f>
        <v>7500000</v>
      </c>
      <c r="BW13" s="31">
        <f t="shared" ref="BW13:BW43" si="2">SUM(AT13:BV13)-BM13</f>
        <v>24500414</v>
      </c>
      <c r="BZ13" s="31">
        <v>21488</v>
      </c>
      <c r="CA13" s="31" t="s">
        <v>227</v>
      </c>
      <c r="CB13" s="31"/>
    </row>
    <row r="14" spans="1:80" ht="74.25" customHeight="1" x14ac:dyDescent="0.8">
      <c r="A14" s="14" t="s">
        <v>19</v>
      </c>
      <c r="B14" s="15" t="s">
        <v>116</v>
      </c>
      <c r="C14" s="32"/>
      <c r="D14" s="32">
        <v>276597900</v>
      </c>
      <c r="E14" s="32">
        <f>264008600+8500000-3000000-4140700+750000-1187032.46</f>
        <v>264930867.53999999</v>
      </c>
      <c r="F14" s="32">
        <f>271100+10000</f>
        <v>281100</v>
      </c>
      <c r="G14" s="31">
        <v>7929056</v>
      </c>
      <c r="H14" s="31"/>
      <c r="I14" s="31"/>
      <c r="J14" s="31">
        <v>16900000</v>
      </c>
      <c r="K14" s="31"/>
      <c r="L14" s="31"/>
      <c r="M14" s="31"/>
      <c r="N14" s="31"/>
      <c r="O14" s="31"/>
      <c r="P14" s="31">
        <f t="shared" si="0"/>
        <v>1125000</v>
      </c>
      <c r="Q14" s="31"/>
      <c r="R14" s="31"/>
      <c r="S14" s="31"/>
      <c r="T14" s="31">
        <f>769228+430772-75000</f>
        <v>1125000</v>
      </c>
      <c r="U14" s="31"/>
      <c r="V14" s="31"/>
      <c r="W14" s="31"/>
      <c r="X14" s="31">
        <f>1057321+1152368</f>
        <v>2209689</v>
      </c>
      <c r="Y14" s="31">
        <v>3494008</v>
      </c>
      <c r="Z14" s="31">
        <v>1142336</v>
      </c>
      <c r="AA14" s="31"/>
      <c r="AB14" s="31"/>
      <c r="AC14" s="31"/>
      <c r="AD14" s="31"/>
      <c r="AE14" s="31"/>
      <c r="AF14" s="31"/>
      <c r="AG14" s="31"/>
      <c r="AH14" s="31"/>
      <c r="AI14" s="31"/>
      <c r="AJ14" s="31">
        <v>6841400</v>
      </c>
      <c r="AK14" s="31">
        <f>955000+25000</f>
        <v>980000</v>
      </c>
      <c r="AL14" s="31"/>
      <c r="AM14" s="31"/>
      <c r="AN14" s="31"/>
      <c r="AO14" s="31"/>
      <c r="AP14" s="31"/>
      <c r="AQ14" s="31"/>
      <c r="AR14" s="31">
        <f t="shared" si="1"/>
        <v>582431356.53999996</v>
      </c>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f>60000000-20000000</f>
        <v>40000000</v>
      </c>
      <c r="BT14" s="31"/>
      <c r="BU14" s="31"/>
      <c r="BV14" s="31"/>
      <c r="BW14" s="31">
        <f t="shared" si="2"/>
        <v>40000000</v>
      </c>
    </row>
    <row r="15" spans="1:80" ht="74.25" customHeight="1" x14ac:dyDescent="0.8">
      <c r="A15" s="14" t="s">
        <v>20</v>
      </c>
      <c r="B15" s="15" t="s">
        <v>58</v>
      </c>
      <c r="C15" s="32"/>
      <c r="D15" s="32">
        <v>65050900</v>
      </c>
      <c r="E15" s="32">
        <f>72798000-3900000+457800+2913400+300000+330000+3874300+1650000+643811.83</f>
        <v>79067311.829999998</v>
      </c>
      <c r="F15" s="32">
        <f>1219500-55000</f>
        <v>1164500</v>
      </c>
      <c r="G15" s="31">
        <f>1671192+250000</f>
        <v>1921192</v>
      </c>
      <c r="H15" s="31"/>
      <c r="I15" s="31"/>
      <c r="J15" s="31">
        <v>457775.03</v>
      </c>
      <c r="K15" s="31"/>
      <c r="L15" s="31"/>
      <c r="M15" s="31"/>
      <c r="N15" s="31"/>
      <c r="O15" s="31"/>
      <c r="P15" s="31">
        <f t="shared" si="0"/>
        <v>0</v>
      </c>
      <c r="Q15" s="31"/>
      <c r="R15" s="31"/>
      <c r="S15" s="31"/>
      <c r="T15" s="31">
        <f>192307-192307</f>
        <v>0</v>
      </c>
      <c r="U15" s="31"/>
      <c r="V15" s="31"/>
      <c r="W15" s="31"/>
      <c r="X15" s="31">
        <f>107227</f>
        <v>107227</v>
      </c>
      <c r="Y15" s="31">
        <v>681453</v>
      </c>
      <c r="Z15" s="31">
        <v>422091</v>
      </c>
      <c r="AA15" s="31"/>
      <c r="AB15" s="31"/>
      <c r="AC15" s="31"/>
      <c r="AD15" s="31"/>
      <c r="AE15" s="31"/>
      <c r="AF15" s="31"/>
      <c r="AG15" s="31"/>
      <c r="AH15" s="31"/>
      <c r="AI15" s="31"/>
      <c r="AJ15" s="31">
        <v>1662100</v>
      </c>
      <c r="AK15" s="31">
        <f>560000</f>
        <v>560000</v>
      </c>
      <c r="AL15" s="31"/>
      <c r="AM15" s="31"/>
      <c r="AN15" s="31"/>
      <c r="AO15" s="31"/>
      <c r="AP15" s="31"/>
      <c r="AQ15" s="31"/>
      <c r="AR15" s="31">
        <f t="shared" si="1"/>
        <v>151094549.85999998</v>
      </c>
      <c r="AS15" s="31"/>
      <c r="AT15" s="31"/>
      <c r="AU15" s="31"/>
      <c r="AV15" s="31"/>
      <c r="AW15" s="31"/>
      <c r="AX15" s="31"/>
      <c r="AY15" s="31"/>
      <c r="AZ15" s="31"/>
      <c r="BA15" s="31"/>
      <c r="BB15" s="31"/>
      <c r="BC15" s="31"/>
      <c r="BD15" s="31"/>
      <c r="BE15" s="31"/>
      <c r="BF15" s="31">
        <v>47000</v>
      </c>
      <c r="BG15" s="31"/>
      <c r="BH15" s="31"/>
      <c r="BI15" s="31"/>
      <c r="BJ15" s="31"/>
      <c r="BK15" s="31"/>
      <c r="BL15" s="31"/>
      <c r="BM15" s="31"/>
      <c r="BN15" s="31"/>
      <c r="BO15" s="31"/>
      <c r="BP15" s="31"/>
      <c r="BQ15" s="31"/>
      <c r="BR15" s="31"/>
      <c r="BS15" s="31"/>
      <c r="BT15" s="31"/>
      <c r="BU15" s="31"/>
      <c r="BV15" s="31"/>
      <c r="BW15" s="31">
        <f t="shared" si="2"/>
        <v>47000</v>
      </c>
    </row>
    <row r="16" spans="1:80" ht="74.25" customHeight="1" x14ac:dyDescent="0.8">
      <c r="A16" s="14" t="s">
        <v>21</v>
      </c>
      <c r="B16" s="15" t="s">
        <v>59</v>
      </c>
      <c r="C16" s="32"/>
      <c r="D16" s="32">
        <v>743272600</v>
      </c>
      <c r="E16" s="32">
        <f>602468700+83950000-4708200+21024100+5723900+44650500-2250000+10971721.95</f>
        <v>761830721.95000005</v>
      </c>
      <c r="F16" s="31">
        <f>2089000-191000</f>
        <v>1898000</v>
      </c>
      <c r="G16" s="31">
        <f>10848487-500000</f>
        <v>10348487</v>
      </c>
      <c r="H16" s="31"/>
      <c r="I16" s="31"/>
      <c r="J16" s="31">
        <v>404528.64000000001</v>
      </c>
      <c r="K16" s="31"/>
      <c r="L16" s="31"/>
      <c r="M16" s="31"/>
      <c r="N16" s="31"/>
      <c r="O16" s="31"/>
      <c r="P16" s="31">
        <f t="shared" si="0"/>
        <v>1125000</v>
      </c>
      <c r="Q16" s="31"/>
      <c r="R16" s="31"/>
      <c r="S16" s="31"/>
      <c r="T16" s="31">
        <f>1730763-530763-75000</f>
        <v>1125000</v>
      </c>
      <c r="U16" s="31"/>
      <c r="V16" s="31"/>
      <c r="W16" s="31"/>
      <c r="X16" s="31">
        <f>8200117+1943327</f>
        <v>10143444</v>
      </c>
      <c r="Y16" s="31">
        <v>7229944</v>
      </c>
      <c r="Z16" s="31">
        <f>825652-825652</f>
        <v>0</v>
      </c>
      <c r="AA16" s="31"/>
      <c r="AB16" s="31"/>
      <c r="AC16" s="31"/>
      <c r="AD16" s="31"/>
      <c r="AE16" s="31"/>
      <c r="AF16" s="31"/>
      <c r="AG16" s="31"/>
      <c r="AH16" s="31"/>
      <c r="AI16" s="31"/>
      <c r="AJ16" s="31"/>
      <c r="AK16" s="31">
        <v>14960000</v>
      </c>
      <c r="AL16" s="31"/>
      <c r="AM16" s="31"/>
      <c r="AN16" s="31"/>
      <c r="AO16" s="31"/>
      <c r="AP16" s="31"/>
      <c r="AQ16" s="31">
        <v>11000000</v>
      </c>
      <c r="AR16" s="31">
        <f t="shared" si="1"/>
        <v>1562212725.5900002</v>
      </c>
      <c r="AS16" s="31"/>
      <c r="AT16" s="31"/>
      <c r="AU16" s="31"/>
      <c r="AV16" s="31"/>
      <c r="AW16" s="31"/>
      <c r="AX16" s="31"/>
      <c r="AY16" s="31"/>
      <c r="AZ16" s="31"/>
      <c r="BA16" s="31"/>
      <c r="BB16" s="31"/>
      <c r="BC16" s="31"/>
      <c r="BD16" s="31"/>
      <c r="BE16" s="31"/>
      <c r="BF16" s="31"/>
      <c r="BG16" s="31"/>
      <c r="BH16" s="31">
        <v>2504261</v>
      </c>
      <c r="BI16" s="31"/>
      <c r="BJ16" s="31"/>
      <c r="BK16" s="31"/>
      <c r="BL16" s="31"/>
      <c r="BM16" s="31"/>
      <c r="BN16" s="31"/>
      <c r="BO16" s="31">
        <f>800000</f>
        <v>800000</v>
      </c>
      <c r="BP16" s="31"/>
      <c r="BQ16" s="31">
        <f>40000</f>
        <v>40000</v>
      </c>
      <c r="BR16" s="31"/>
      <c r="BS16" s="31"/>
      <c r="BT16" s="31"/>
      <c r="BU16" s="31">
        <f>766851</f>
        <v>766851</v>
      </c>
      <c r="BV16" s="31"/>
      <c r="BW16" s="31">
        <f t="shared" si="2"/>
        <v>4111112</v>
      </c>
    </row>
    <row r="17" spans="1:75" ht="74.25" customHeight="1" x14ac:dyDescent="0.8">
      <c r="A17" s="14" t="s">
        <v>22</v>
      </c>
      <c r="B17" s="15" t="s">
        <v>60</v>
      </c>
      <c r="C17" s="32"/>
      <c r="D17" s="32">
        <v>66746200</v>
      </c>
      <c r="E17" s="32">
        <f>61362500-9000000+1218900+530400+811500+2472600+450000+691010.81</f>
        <v>58536910.810000002</v>
      </c>
      <c r="F17" s="32">
        <f>171500-66500</f>
        <v>105000</v>
      </c>
      <c r="G17" s="31">
        <v>4432232</v>
      </c>
      <c r="H17" s="31"/>
      <c r="I17" s="31"/>
      <c r="J17" s="31"/>
      <c r="K17" s="31"/>
      <c r="L17" s="31"/>
      <c r="M17" s="31"/>
      <c r="N17" s="31"/>
      <c r="O17" s="31"/>
      <c r="P17" s="31">
        <f t="shared" si="0"/>
        <v>375000</v>
      </c>
      <c r="Q17" s="31"/>
      <c r="R17" s="31"/>
      <c r="S17" s="31"/>
      <c r="T17" s="31">
        <f>769228-369228-25000</f>
        <v>375000</v>
      </c>
      <c r="U17" s="31"/>
      <c r="V17" s="31"/>
      <c r="W17" s="31"/>
      <c r="X17" s="31">
        <f>93984+435529</f>
        <v>529513</v>
      </c>
      <c r="Y17" s="31">
        <v>679253</v>
      </c>
      <c r="Z17" s="31"/>
      <c r="AA17" s="31"/>
      <c r="AB17" s="31"/>
      <c r="AC17" s="31"/>
      <c r="AD17" s="31"/>
      <c r="AE17" s="31"/>
      <c r="AF17" s="31"/>
      <c r="AG17" s="31"/>
      <c r="AH17" s="31"/>
      <c r="AI17" s="31"/>
      <c r="AJ17" s="31">
        <v>2142300</v>
      </c>
      <c r="AK17" s="31">
        <v>1030000</v>
      </c>
      <c r="AL17" s="31"/>
      <c r="AM17" s="31"/>
      <c r="AN17" s="31"/>
      <c r="AO17" s="31"/>
      <c r="AP17" s="31"/>
      <c r="AQ17" s="31"/>
      <c r="AR17" s="31">
        <f t="shared" si="1"/>
        <v>134576408.81</v>
      </c>
      <c r="AS17" s="31"/>
      <c r="AT17" s="31"/>
      <c r="AU17" s="31"/>
      <c r="AV17" s="31"/>
      <c r="AW17" s="31"/>
      <c r="AX17" s="31"/>
      <c r="AY17" s="31"/>
      <c r="AZ17" s="31"/>
      <c r="BA17" s="31"/>
      <c r="BB17" s="31"/>
      <c r="BC17" s="31"/>
      <c r="BD17" s="31"/>
      <c r="BE17" s="31"/>
      <c r="BF17" s="31"/>
      <c r="BG17" s="31"/>
      <c r="BH17" s="31"/>
      <c r="BI17" s="31"/>
      <c r="BJ17" s="31"/>
      <c r="BK17" s="31"/>
      <c r="BL17" s="31"/>
      <c r="BM17" s="31"/>
      <c r="BN17" s="31"/>
      <c r="BO17" s="31">
        <v>20000</v>
      </c>
      <c r="BP17" s="31"/>
      <c r="BQ17" s="31"/>
      <c r="BR17" s="31"/>
      <c r="BS17" s="31"/>
      <c r="BT17" s="31"/>
      <c r="BU17" s="31">
        <f>100000</f>
        <v>100000</v>
      </c>
      <c r="BV17" s="31"/>
      <c r="BW17" s="31">
        <f t="shared" si="2"/>
        <v>120000</v>
      </c>
    </row>
    <row r="18" spans="1:75" ht="74.25" customHeight="1" x14ac:dyDescent="0.8">
      <c r="A18" s="14" t="s">
        <v>23</v>
      </c>
      <c r="B18" s="15" t="s">
        <v>61</v>
      </c>
      <c r="C18" s="32"/>
      <c r="D18" s="32">
        <v>157636500</v>
      </c>
      <c r="E18" s="32">
        <f>113172900+10400000+1713700+2133800+2149900+7365500-215000-1043693</f>
        <v>135677107</v>
      </c>
      <c r="F18" s="32">
        <f>145400+12700</f>
        <v>158100</v>
      </c>
      <c r="G18" s="31">
        <v>3115550</v>
      </c>
      <c r="H18" s="31"/>
      <c r="I18" s="31"/>
      <c r="J18" s="31"/>
      <c r="K18" s="31"/>
      <c r="L18" s="31"/>
      <c r="M18" s="31"/>
      <c r="N18" s="31"/>
      <c r="O18" s="31"/>
      <c r="P18" s="31">
        <f t="shared" si="0"/>
        <v>4818800</v>
      </c>
      <c r="Q18" s="31"/>
      <c r="R18" s="31">
        <v>4443800</v>
      </c>
      <c r="S18" s="31"/>
      <c r="T18" s="31">
        <f>192307+207693-25000</f>
        <v>375000</v>
      </c>
      <c r="U18" s="31"/>
      <c r="V18" s="31"/>
      <c r="W18" s="31"/>
      <c r="X18" s="31">
        <f>2232123+227700</f>
        <v>2459823</v>
      </c>
      <c r="Y18" s="31">
        <v>1368884</v>
      </c>
      <c r="Z18" s="31">
        <v>1854691</v>
      </c>
      <c r="AA18" s="31"/>
      <c r="AB18" s="31"/>
      <c r="AC18" s="31"/>
      <c r="AD18" s="31"/>
      <c r="AE18" s="31"/>
      <c r="AF18" s="31"/>
      <c r="AG18" s="31"/>
      <c r="AH18" s="31"/>
      <c r="AI18" s="31"/>
      <c r="AJ18" s="31">
        <v>1046900</v>
      </c>
      <c r="AK18" s="31">
        <v>1715000</v>
      </c>
      <c r="AL18" s="31"/>
      <c r="AM18" s="31"/>
      <c r="AN18" s="31"/>
      <c r="AO18" s="31"/>
      <c r="AP18" s="31"/>
      <c r="AQ18" s="31"/>
      <c r="AR18" s="31">
        <f t="shared" si="1"/>
        <v>309851355</v>
      </c>
      <c r="AS18" s="31"/>
      <c r="AT18" s="31"/>
      <c r="AU18" s="31"/>
      <c r="AV18" s="31"/>
      <c r="AW18" s="31"/>
      <c r="AX18" s="31"/>
      <c r="AY18" s="31"/>
      <c r="AZ18" s="31"/>
      <c r="BA18" s="31"/>
      <c r="BB18" s="31"/>
      <c r="BC18" s="31"/>
      <c r="BD18" s="31"/>
      <c r="BE18" s="31"/>
      <c r="BF18" s="31">
        <f>115000</f>
        <v>115000</v>
      </c>
      <c r="BG18" s="31"/>
      <c r="BH18" s="31"/>
      <c r="BI18" s="31"/>
      <c r="BJ18" s="31"/>
      <c r="BK18" s="31"/>
      <c r="BL18" s="31">
        <v>11660100</v>
      </c>
      <c r="BM18" s="31">
        <v>11660100</v>
      </c>
      <c r="BN18" s="31"/>
      <c r="BO18" s="31"/>
      <c r="BP18" s="31"/>
      <c r="BQ18" s="31"/>
      <c r="BR18" s="31"/>
      <c r="BS18" s="31"/>
      <c r="BT18" s="31"/>
      <c r="BU18" s="31"/>
      <c r="BV18" s="31"/>
      <c r="BW18" s="31">
        <f t="shared" si="2"/>
        <v>11775100</v>
      </c>
    </row>
    <row r="19" spans="1:75" ht="74.25" customHeight="1" x14ac:dyDescent="0.8">
      <c r="A19" s="14" t="s">
        <v>24</v>
      </c>
      <c r="B19" s="15" t="s">
        <v>62</v>
      </c>
      <c r="C19" s="32"/>
      <c r="D19" s="32">
        <v>93730900</v>
      </c>
      <c r="E19" s="32">
        <f>84890400-1800000-4944900+70000+380572.8</f>
        <v>78596072.799999997</v>
      </c>
      <c r="F19" s="32">
        <f>132400-34500</f>
        <v>97900</v>
      </c>
      <c r="G19" s="31">
        <v>1658608</v>
      </c>
      <c r="H19" s="31"/>
      <c r="I19" s="31"/>
      <c r="J19" s="31">
        <v>938554</v>
      </c>
      <c r="K19" s="31"/>
      <c r="L19" s="31"/>
      <c r="M19" s="31"/>
      <c r="N19" s="31"/>
      <c r="O19" s="31"/>
      <c r="P19" s="31">
        <f t="shared" si="0"/>
        <v>7794542</v>
      </c>
      <c r="Q19" s="31"/>
      <c r="R19" s="31">
        <v>7044542</v>
      </c>
      <c r="S19" s="31"/>
      <c r="T19" s="31">
        <f>384614+415386-50000</f>
        <v>750000</v>
      </c>
      <c r="U19" s="31"/>
      <c r="V19" s="31"/>
      <c r="W19" s="31"/>
      <c r="X19" s="31">
        <f>211464+918050</f>
        <v>1129514</v>
      </c>
      <c r="Y19" s="31">
        <v>815431</v>
      </c>
      <c r="Z19" s="31"/>
      <c r="AA19" s="31"/>
      <c r="AB19" s="31"/>
      <c r="AC19" s="31"/>
      <c r="AD19" s="31"/>
      <c r="AE19" s="31"/>
      <c r="AF19" s="31"/>
      <c r="AG19" s="31"/>
      <c r="AH19" s="31"/>
      <c r="AI19" s="31"/>
      <c r="AJ19" s="31">
        <v>3408800</v>
      </c>
      <c r="AK19" s="31">
        <v>1583000</v>
      </c>
      <c r="AL19" s="31"/>
      <c r="AM19" s="31"/>
      <c r="AN19" s="31"/>
      <c r="AO19" s="31"/>
      <c r="AP19" s="31"/>
      <c r="AQ19" s="31"/>
      <c r="AR19" s="31">
        <f t="shared" si="1"/>
        <v>189753321.80000001</v>
      </c>
      <c r="AS19" s="31"/>
      <c r="AT19" s="31"/>
      <c r="AU19" s="31"/>
      <c r="AV19" s="31"/>
      <c r="AW19" s="31"/>
      <c r="AX19" s="31"/>
      <c r="AY19" s="31"/>
      <c r="AZ19" s="31"/>
      <c r="BA19" s="31"/>
      <c r="BB19" s="31"/>
      <c r="BC19" s="31"/>
      <c r="BD19" s="31"/>
      <c r="BE19" s="31"/>
      <c r="BF19" s="31"/>
      <c r="BG19" s="31"/>
      <c r="BH19" s="31"/>
      <c r="BI19" s="31"/>
      <c r="BJ19" s="31"/>
      <c r="BK19" s="31"/>
      <c r="BL19" s="31"/>
      <c r="BM19" s="31"/>
      <c r="BN19" s="31"/>
      <c r="BO19" s="31">
        <v>142000</v>
      </c>
      <c r="BP19" s="31"/>
      <c r="BQ19" s="31"/>
      <c r="BR19" s="31"/>
      <c r="BS19" s="31"/>
      <c r="BT19" s="31"/>
      <c r="BU19" s="31"/>
      <c r="BV19" s="31"/>
      <c r="BW19" s="31">
        <f t="shared" si="2"/>
        <v>142000</v>
      </c>
    </row>
    <row r="20" spans="1:75" ht="74.25" customHeight="1" x14ac:dyDescent="0.8">
      <c r="A20" s="14" t="s">
        <v>25</v>
      </c>
      <c r="B20" s="15" t="s">
        <v>115</v>
      </c>
      <c r="C20" s="32"/>
      <c r="D20" s="32">
        <v>53262700</v>
      </c>
      <c r="E20" s="32">
        <f>53675600-12050000+1168400+308683.35</f>
        <v>43102683.350000001</v>
      </c>
      <c r="F20" s="32">
        <f>263400-2500</f>
        <v>260900</v>
      </c>
      <c r="G20" s="31">
        <f>954088+100000</f>
        <v>1054088</v>
      </c>
      <c r="H20" s="31"/>
      <c r="I20" s="31"/>
      <c r="J20" s="31"/>
      <c r="K20" s="31"/>
      <c r="L20" s="31"/>
      <c r="M20" s="31"/>
      <c r="N20" s="31"/>
      <c r="O20" s="31"/>
      <c r="P20" s="31">
        <f t="shared" si="0"/>
        <v>375000</v>
      </c>
      <c r="Q20" s="31"/>
      <c r="R20" s="31"/>
      <c r="S20" s="31"/>
      <c r="T20" s="31">
        <f>192307+207693-25000</f>
        <v>375000</v>
      </c>
      <c r="U20" s="31"/>
      <c r="V20" s="31"/>
      <c r="W20" s="31"/>
      <c r="X20" s="31">
        <f>2349604+328302</f>
        <v>2677906</v>
      </c>
      <c r="Y20" s="31">
        <v>695327</v>
      </c>
      <c r="Z20" s="31"/>
      <c r="AA20" s="31"/>
      <c r="AB20" s="31"/>
      <c r="AC20" s="31"/>
      <c r="AD20" s="31"/>
      <c r="AE20" s="31"/>
      <c r="AF20" s="31"/>
      <c r="AG20" s="31"/>
      <c r="AH20" s="31"/>
      <c r="AI20" s="31"/>
      <c r="AJ20" s="31">
        <v>1213800</v>
      </c>
      <c r="AK20" s="31">
        <v>1145000</v>
      </c>
      <c r="AL20" s="31"/>
      <c r="AM20" s="31"/>
      <c r="AN20" s="31"/>
      <c r="AO20" s="31"/>
      <c r="AP20" s="31"/>
      <c r="AQ20" s="31"/>
      <c r="AR20" s="31">
        <f t="shared" si="1"/>
        <v>103787404.34999999</v>
      </c>
      <c r="AS20" s="31"/>
      <c r="AT20" s="31"/>
      <c r="AU20" s="31"/>
      <c r="AV20" s="31"/>
      <c r="AW20" s="31"/>
      <c r="AX20" s="31"/>
      <c r="AY20" s="31"/>
      <c r="AZ20" s="31"/>
      <c r="BA20" s="31"/>
      <c r="BB20" s="31"/>
      <c r="BC20" s="31"/>
      <c r="BD20" s="31"/>
      <c r="BE20" s="31"/>
      <c r="BF20" s="31">
        <v>84000</v>
      </c>
      <c r="BG20" s="31"/>
      <c r="BH20" s="31"/>
      <c r="BI20" s="31"/>
      <c r="BJ20" s="31"/>
      <c r="BK20" s="31"/>
      <c r="BL20" s="31"/>
      <c r="BM20" s="31"/>
      <c r="BN20" s="31"/>
      <c r="BO20" s="31"/>
      <c r="BP20" s="31"/>
      <c r="BQ20" s="31"/>
      <c r="BR20" s="31"/>
      <c r="BS20" s="31"/>
      <c r="BT20" s="31"/>
      <c r="BU20" s="31"/>
      <c r="BV20" s="31"/>
      <c r="BW20" s="31">
        <f t="shared" si="2"/>
        <v>84000</v>
      </c>
    </row>
    <row r="21" spans="1:75" ht="74.25" customHeight="1" x14ac:dyDescent="0.8">
      <c r="A21" s="14" t="s">
        <v>26</v>
      </c>
      <c r="B21" s="15" t="s">
        <v>63</v>
      </c>
      <c r="C21" s="32"/>
      <c r="D21" s="32">
        <v>131725900</v>
      </c>
      <c r="E21" s="32">
        <f>101590000+18690000-11623500+170000+670712.4</f>
        <v>109497212.40000001</v>
      </c>
      <c r="F21" s="32">
        <f>559000-51500</f>
        <v>507500</v>
      </c>
      <c r="G21" s="31">
        <v>2413734</v>
      </c>
      <c r="H21" s="31"/>
      <c r="I21" s="31"/>
      <c r="J21" s="31">
        <f>14052394.43+1090048.31+699847.5</f>
        <v>15842290.24</v>
      </c>
      <c r="K21" s="31"/>
      <c r="L21" s="31"/>
      <c r="M21" s="31"/>
      <c r="N21" s="31"/>
      <c r="O21" s="31"/>
      <c r="P21" s="31">
        <f t="shared" si="0"/>
        <v>375000</v>
      </c>
      <c r="Q21" s="31"/>
      <c r="R21" s="31"/>
      <c r="S21" s="31"/>
      <c r="T21" s="31">
        <f>576921-176921-25000</f>
        <v>375000</v>
      </c>
      <c r="U21" s="31"/>
      <c r="V21" s="31"/>
      <c r="W21" s="31"/>
      <c r="X21" s="31">
        <f>93984+381916</f>
        <v>475900</v>
      </c>
      <c r="Y21" s="31">
        <v>1293055</v>
      </c>
      <c r="Z21" s="31"/>
      <c r="AA21" s="31"/>
      <c r="AB21" s="31"/>
      <c r="AC21" s="31"/>
      <c r="AD21" s="31"/>
      <c r="AE21" s="31"/>
      <c r="AF21" s="31"/>
      <c r="AG21" s="31"/>
      <c r="AH21" s="31"/>
      <c r="AI21" s="31"/>
      <c r="AJ21" s="31">
        <v>2664000</v>
      </c>
      <c r="AK21" s="31">
        <v>2930000</v>
      </c>
      <c r="AL21" s="31"/>
      <c r="AM21" s="31"/>
      <c r="AN21" s="31"/>
      <c r="AO21" s="31"/>
      <c r="AP21" s="31"/>
      <c r="AQ21" s="31"/>
      <c r="AR21" s="31">
        <f t="shared" si="1"/>
        <v>267724591.64000002</v>
      </c>
      <c r="AS21" s="31"/>
      <c r="AT21" s="31"/>
      <c r="AU21" s="31"/>
      <c r="AV21" s="31"/>
      <c r="AW21" s="31"/>
      <c r="AX21" s="31"/>
      <c r="AY21" s="31"/>
      <c r="AZ21" s="31"/>
      <c r="BA21" s="31"/>
      <c r="BB21" s="31"/>
      <c r="BC21" s="31"/>
      <c r="BD21" s="31"/>
      <c r="BE21" s="31"/>
      <c r="BF21" s="31">
        <v>216000</v>
      </c>
      <c r="BG21" s="31"/>
      <c r="BH21" s="31"/>
      <c r="BI21" s="31"/>
      <c r="BJ21" s="31">
        <f>1891910</f>
        <v>1891910</v>
      </c>
      <c r="BK21" s="31"/>
      <c r="BL21" s="31"/>
      <c r="BM21" s="31"/>
      <c r="BN21" s="31"/>
      <c r="BO21" s="31"/>
      <c r="BP21" s="31"/>
      <c r="BQ21" s="31"/>
      <c r="BR21" s="31"/>
      <c r="BS21" s="31"/>
      <c r="BT21" s="31"/>
      <c r="BU21" s="31"/>
      <c r="BV21" s="31"/>
      <c r="BW21" s="31">
        <f t="shared" si="2"/>
        <v>2107910</v>
      </c>
    </row>
    <row r="22" spans="1:75" ht="74.25" customHeight="1" x14ac:dyDescent="0.8">
      <c r="A22" s="14" t="s">
        <v>27</v>
      </c>
      <c r="B22" s="15" t="s">
        <v>64</v>
      </c>
      <c r="C22" s="32"/>
      <c r="D22" s="32">
        <v>30698500</v>
      </c>
      <c r="E22" s="32">
        <f>9050000-2550000+788600+292100+532200+976800-45000+465927.09</f>
        <v>9510627.0899999999</v>
      </c>
      <c r="F22" s="32"/>
      <c r="G22" s="31">
        <v>1735671</v>
      </c>
      <c r="H22" s="31"/>
      <c r="I22" s="31"/>
      <c r="J22" s="31">
        <f>182587.82</f>
        <v>182587.82</v>
      </c>
      <c r="K22" s="31"/>
      <c r="L22" s="31"/>
      <c r="M22" s="31"/>
      <c r="N22" s="31"/>
      <c r="O22" s="31"/>
      <c r="P22" s="31">
        <f t="shared" si="0"/>
        <v>0</v>
      </c>
      <c r="Q22" s="31"/>
      <c r="R22" s="31"/>
      <c r="S22" s="31"/>
      <c r="T22" s="31">
        <f>384614-384614</f>
        <v>0</v>
      </c>
      <c r="U22" s="31"/>
      <c r="V22" s="31"/>
      <c r="W22" s="31"/>
      <c r="X22" s="31">
        <f>750588</f>
        <v>750588</v>
      </c>
      <c r="Y22" s="31">
        <v>362088</v>
      </c>
      <c r="Z22" s="31"/>
      <c r="AA22" s="31"/>
      <c r="AB22" s="31"/>
      <c r="AC22" s="31"/>
      <c r="AD22" s="31"/>
      <c r="AE22" s="31"/>
      <c r="AF22" s="31"/>
      <c r="AG22" s="31"/>
      <c r="AH22" s="31"/>
      <c r="AI22" s="31"/>
      <c r="AJ22" s="31"/>
      <c r="AK22" s="31">
        <v>750000</v>
      </c>
      <c r="AL22" s="31"/>
      <c r="AM22" s="31"/>
      <c r="AN22" s="31"/>
      <c r="AO22" s="31"/>
      <c r="AP22" s="31"/>
      <c r="AQ22" s="31"/>
      <c r="AR22" s="31">
        <f t="shared" si="1"/>
        <v>43990061.910000004</v>
      </c>
      <c r="AS22" s="31"/>
      <c r="AT22" s="31"/>
      <c r="AU22" s="31"/>
      <c r="AV22" s="31"/>
      <c r="AW22" s="31"/>
      <c r="AX22" s="31"/>
      <c r="AY22" s="31"/>
      <c r="AZ22" s="31"/>
      <c r="BA22" s="31"/>
      <c r="BB22" s="31"/>
      <c r="BC22" s="31"/>
      <c r="BD22" s="31"/>
      <c r="BE22" s="31"/>
      <c r="BF22" s="31">
        <v>29000</v>
      </c>
      <c r="BG22" s="31"/>
      <c r="BH22" s="31"/>
      <c r="BI22" s="31"/>
      <c r="BJ22" s="31"/>
      <c r="BK22" s="31"/>
      <c r="BL22" s="31"/>
      <c r="BM22" s="31"/>
      <c r="BN22" s="31"/>
      <c r="BO22" s="31"/>
      <c r="BP22" s="31"/>
      <c r="BQ22" s="31"/>
      <c r="BR22" s="31"/>
      <c r="BS22" s="31"/>
      <c r="BT22" s="31"/>
      <c r="BU22" s="31"/>
      <c r="BV22" s="31"/>
      <c r="BW22" s="31">
        <f t="shared" si="2"/>
        <v>29000</v>
      </c>
    </row>
    <row r="23" spans="1:75" ht="74.25" customHeight="1" x14ac:dyDescent="0.8">
      <c r="A23" s="14" t="s">
        <v>28</v>
      </c>
      <c r="B23" s="15" t="s">
        <v>65</v>
      </c>
      <c r="C23" s="32"/>
      <c r="D23" s="32">
        <v>43137100</v>
      </c>
      <c r="E23" s="32">
        <f>52478900-8900000-2805400-5820200-120000+334985.97</f>
        <v>35168285.969999999</v>
      </c>
      <c r="F23" s="32">
        <f>380200+29000</f>
        <v>409200</v>
      </c>
      <c r="G23" s="31">
        <f>1226429+280000</f>
        <v>1506429</v>
      </c>
      <c r="H23" s="31"/>
      <c r="I23" s="31"/>
      <c r="J23" s="31">
        <f>7812.77</f>
        <v>7812.77</v>
      </c>
      <c r="K23" s="31"/>
      <c r="L23" s="31"/>
      <c r="M23" s="31"/>
      <c r="N23" s="31"/>
      <c r="O23" s="31"/>
      <c r="P23" s="31">
        <f t="shared" si="0"/>
        <v>0</v>
      </c>
      <c r="Q23" s="31"/>
      <c r="R23" s="31"/>
      <c r="S23" s="31"/>
      <c r="T23" s="31"/>
      <c r="U23" s="31"/>
      <c r="V23" s="31"/>
      <c r="W23" s="31"/>
      <c r="X23" s="31">
        <f>53613</f>
        <v>53613</v>
      </c>
      <c r="Y23" s="31">
        <v>352246</v>
      </c>
      <c r="Z23" s="31"/>
      <c r="AA23" s="31"/>
      <c r="AB23" s="31"/>
      <c r="AC23" s="31"/>
      <c r="AD23" s="31"/>
      <c r="AE23" s="31"/>
      <c r="AF23" s="31"/>
      <c r="AG23" s="31"/>
      <c r="AH23" s="31"/>
      <c r="AI23" s="31"/>
      <c r="AJ23" s="31">
        <v>1020700</v>
      </c>
      <c r="AK23" s="31">
        <v>775000</v>
      </c>
      <c r="AL23" s="31"/>
      <c r="AM23" s="31"/>
      <c r="AN23" s="31"/>
      <c r="AO23" s="31">
        <v>571000</v>
      </c>
      <c r="AP23" s="31"/>
      <c r="AQ23" s="31"/>
      <c r="AR23" s="31">
        <f t="shared" si="1"/>
        <v>83001386.739999995</v>
      </c>
      <c r="AS23" s="31"/>
      <c r="AT23" s="31"/>
      <c r="AU23" s="31"/>
      <c r="AV23" s="31"/>
      <c r="AW23" s="31"/>
      <c r="AX23" s="31"/>
      <c r="AY23" s="31"/>
      <c r="AZ23" s="31"/>
      <c r="BA23" s="31"/>
      <c r="BB23" s="31"/>
      <c r="BC23" s="31"/>
      <c r="BD23" s="31"/>
      <c r="BE23" s="31"/>
      <c r="BF23" s="31"/>
      <c r="BG23" s="31"/>
      <c r="BH23" s="31"/>
      <c r="BI23" s="31"/>
      <c r="BJ23" s="31"/>
      <c r="BK23" s="31"/>
      <c r="BL23" s="31"/>
      <c r="BM23" s="31"/>
      <c r="BN23" s="31"/>
      <c r="BO23" s="31">
        <f>31000</f>
        <v>31000</v>
      </c>
      <c r="BP23" s="31"/>
      <c r="BQ23" s="31"/>
      <c r="BR23" s="31"/>
      <c r="BS23" s="31"/>
      <c r="BT23" s="31"/>
      <c r="BU23" s="31"/>
      <c r="BV23" s="31"/>
      <c r="BW23" s="31">
        <f t="shared" si="2"/>
        <v>31000</v>
      </c>
    </row>
    <row r="24" spans="1:75" ht="74.25" customHeight="1" x14ac:dyDescent="0.8">
      <c r="A24" s="14" t="s">
        <v>29</v>
      </c>
      <c r="B24" s="15" t="s">
        <v>66</v>
      </c>
      <c r="C24" s="32"/>
      <c r="D24" s="32">
        <v>29121300</v>
      </c>
      <c r="E24" s="32">
        <f>9315100-2740000+529200+222200+815600+877400-95000+338918.56</f>
        <v>9263418.5600000005</v>
      </c>
      <c r="F24" s="32">
        <f>178100+26000</f>
        <v>204100</v>
      </c>
      <c r="G24" s="31">
        <v>1803720</v>
      </c>
      <c r="H24" s="31"/>
      <c r="I24" s="31"/>
      <c r="J24" s="31">
        <f>235596.32</f>
        <v>235596.32</v>
      </c>
      <c r="K24" s="31"/>
      <c r="L24" s="31"/>
      <c r="M24" s="31"/>
      <c r="N24" s="31"/>
      <c r="O24" s="31"/>
      <c r="P24" s="31">
        <f t="shared" si="0"/>
        <v>0</v>
      </c>
      <c r="Q24" s="31"/>
      <c r="R24" s="31"/>
      <c r="S24" s="31"/>
      <c r="T24" s="31"/>
      <c r="U24" s="31"/>
      <c r="V24" s="31"/>
      <c r="W24" s="31"/>
      <c r="X24" s="31">
        <v>23496</v>
      </c>
      <c r="Y24" s="31">
        <v>521756</v>
      </c>
      <c r="Z24" s="31"/>
      <c r="AA24" s="31"/>
      <c r="AB24" s="31"/>
      <c r="AC24" s="31"/>
      <c r="AD24" s="31"/>
      <c r="AE24" s="31"/>
      <c r="AF24" s="31"/>
      <c r="AG24" s="31"/>
      <c r="AH24" s="31"/>
      <c r="AI24" s="31"/>
      <c r="AJ24" s="31"/>
      <c r="AK24" s="31">
        <v>550000</v>
      </c>
      <c r="AL24" s="31"/>
      <c r="AM24" s="31"/>
      <c r="AN24" s="31"/>
      <c r="AO24" s="31"/>
      <c r="AP24" s="31"/>
      <c r="AQ24" s="31"/>
      <c r="AR24" s="31">
        <f t="shared" si="1"/>
        <v>41723386.880000003</v>
      </c>
      <c r="AS24" s="31"/>
      <c r="AT24" s="31"/>
      <c r="AU24" s="31"/>
      <c r="AV24" s="31">
        <v>98271</v>
      </c>
      <c r="AW24" s="31"/>
      <c r="AX24" s="31"/>
      <c r="AY24" s="31"/>
      <c r="AZ24" s="31"/>
      <c r="BA24" s="31"/>
      <c r="BB24" s="31"/>
      <c r="BC24" s="31"/>
      <c r="BD24" s="31"/>
      <c r="BE24" s="31"/>
      <c r="BF24" s="31">
        <v>29000</v>
      </c>
      <c r="BG24" s="31"/>
      <c r="BH24" s="31"/>
      <c r="BI24" s="31"/>
      <c r="BJ24" s="31"/>
      <c r="BK24" s="31"/>
      <c r="BL24" s="31"/>
      <c r="BM24" s="31"/>
      <c r="BN24" s="31"/>
      <c r="BO24" s="31"/>
      <c r="BP24" s="31"/>
      <c r="BQ24" s="31"/>
      <c r="BR24" s="31"/>
      <c r="BS24" s="31"/>
      <c r="BT24" s="31"/>
      <c r="BU24" s="31"/>
      <c r="BV24" s="31"/>
      <c r="BW24" s="31">
        <f t="shared" si="2"/>
        <v>127271</v>
      </c>
    </row>
    <row r="25" spans="1:75" ht="74.25" customHeight="1" x14ac:dyDescent="0.8">
      <c r="A25" s="14"/>
      <c r="B25" s="15" t="s">
        <v>56</v>
      </c>
      <c r="C25" s="32">
        <f t="shared" ref="C25:AO25" si="3">C12+C13+C14+C15+C16+C17+C18+C19+C20+C21+C22+C23+C24</f>
        <v>0</v>
      </c>
      <c r="D25" s="32">
        <f t="shared" si="3"/>
        <v>2733206300</v>
      </c>
      <c r="E25" s="32">
        <f t="shared" si="3"/>
        <v>2235888116.3999996</v>
      </c>
      <c r="F25" s="32">
        <f t="shared" si="3"/>
        <v>5885390</v>
      </c>
      <c r="G25" s="32">
        <f t="shared" si="3"/>
        <v>48844424</v>
      </c>
      <c r="H25" s="32">
        <f>H12+H13+H14+H15+H16+H17+H18+H19+H20+H21+H22+H23+H24</f>
        <v>0</v>
      </c>
      <c r="I25" s="32">
        <f>I12+I13+I14+I15+I16+I17+I18+I19+I20+I21+I22+I23+I24</f>
        <v>5000000</v>
      </c>
      <c r="J25" s="32">
        <f t="shared" si="3"/>
        <v>35079328.470000006</v>
      </c>
      <c r="K25" s="32">
        <f t="shared" si="3"/>
        <v>0</v>
      </c>
      <c r="L25" s="32">
        <f>L12+L13+L14+L15+L16+L17+L18+L19+L20+L21+L22+L23+L24</f>
        <v>0</v>
      </c>
      <c r="M25" s="32">
        <f>M12+M13+M14+M15+M16+M17+M18+M19+M20+M21+M22+M23+M24</f>
        <v>0</v>
      </c>
      <c r="N25" s="32">
        <f t="shared" si="3"/>
        <v>0</v>
      </c>
      <c r="O25" s="32">
        <f t="shared" si="3"/>
        <v>0</v>
      </c>
      <c r="P25" s="31">
        <f t="shared" si="0"/>
        <v>25513342</v>
      </c>
      <c r="Q25" s="32">
        <f t="shared" ref="Q25:W25" si="4">Q12+Q13+Q14+Q15+Q16+Q17+Q18+Q19+Q20+Q21+Q22+Q23+Q24</f>
        <v>150000</v>
      </c>
      <c r="R25" s="32">
        <f t="shared" si="4"/>
        <v>11488342</v>
      </c>
      <c r="S25" s="32">
        <f t="shared" si="4"/>
        <v>0</v>
      </c>
      <c r="T25" s="32">
        <f t="shared" si="4"/>
        <v>13875000</v>
      </c>
      <c r="U25" s="32">
        <f t="shared" si="4"/>
        <v>0</v>
      </c>
      <c r="V25" s="32">
        <f t="shared" si="4"/>
        <v>0</v>
      </c>
      <c r="W25" s="32">
        <f t="shared" si="4"/>
        <v>0</v>
      </c>
      <c r="X25" s="32">
        <f t="shared" si="3"/>
        <v>31067246</v>
      </c>
      <c r="Y25" s="32">
        <f t="shared" si="3"/>
        <v>32448593</v>
      </c>
      <c r="Z25" s="32">
        <f t="shared" si="3"/>
        <v>10104034</v>
      </c>
      <c r="AA25" s="32">
        <f t="shared" si="3"/>
        <v>0</v>
      </c>
      <c r="AB25" s="32">
        <f t="shared" si="3"/>
        <v>0</v>
      </c>
      <c r="AC25" s="32">
        <f t="shared" si="3"/>
        <v>0</v>
      </c>
      <c r="AD25" s="32">
        <f t="shared" si="3"/>
        <v>0</v>
      </c>
      <c r="AE25" s="32">
        <f t="shared" si="3"/>
        <v>0</v>
      </c>
      <c r="AF25" s="32">
        <f t="shared" si="3"/>
        <v>0</v>
      </c>
      <c r="AG25" s="32">
        <f t="shared" si="3"/>
        <v>0</v>
      </c>
      <c r="AH25" s="32">
        <f t="shared" si="3"/>
        <v>0</v>
      </c>
      <c r="AI25" s="32">
        <f t="shared" si="3"/>
        <v>0</v>
      </c>
      <c r="AJ25" s="32">
        <f t="shared" si="3"/>
        <v>20000000</v>
      </c>
      <c r="AK25" s="32">
        <f t="shared" si="3"/>
        <v>40661000</v>
      </c>
      <c r="AL25" s="32">
        <f t="shared" si="3"/>
        <v>0</v>
      </c>
      <c r="AM25" s="32">
        <f t="shared" si="3"/>
        <v>0</v>
      </c>
      <c r="AN25" s="32">
        <f t="shared" si="3"/>
        <v>0</v>
      </c>
      <c r="AO25" s="32">
        <f t="shared" si="3"/>
        <v>971000</v>
      </c>
      <c r="AP25" s="32"/>
      <c r="AQ25" s="32">
        <f>AQ12+AQ13+AQ14+AQ15+AQ16+AQ17+AQ18+AQ19+AQ20+AQ21+AQ22+AQ23+AQ24</f>
        <v>11000000</v>
      </c>
      <c r="AR25" s="32">
        <f>AR12+AR13+AR14+AR15+AR16+AR17+AR18+AR19+AR20+AR21+AR22+AR23+AR24</f>
        <v>5235668773.8700008</v>
      </c>
      <c r="AS25" s="32">
        <f>AS12+AS13+AS14+AS15+AS16+AS17+AS18+AS19+AS20+AS21+AS22+AS23+AS24</f>
        <v>0</v>
      </c>
      <c r="AT25" s="32">
        <f t="shared" ref="AT25:BR25" si="5">AT12+AT13+AT14+AT15+AT16+AT17+AT18+AT19+AT20+AT21+AT22+AT23+AT24</f>
        <v>0</v>
      </c>
      <c r="AU25" s="32">
        <f t="shared" si="5"/>
        <v>0</v>
      </c>
      <c r="AV25" s="32">
        <f t="shared" si="5"/>
        <v>5098271</v>
      </c>
      <c r="AW25" s="32">
        <f t="shared" si="5"/>
        <v>0</v>
      </c>
      <c r="AX25" s="32">
        <f t="shared" si="5"/>
        <v>0</v>
      </c>
      <c r="AY25" s="32">
        <f t="shared" si="5"/>
        <v>0</v>
      </c>
      <c r="AZ25" s="32">
        <f t="shared" si="5"/>
        <v>0</v>
      </c>
      <c r="BA25" s="32">
        <f t="shared" si="5"/>
        <v>0</v>
      </c>
      <c r="BB25" s="32">
        <f t="shared" si="5"/>
        <v>0</v>
      </c>
      <c r="BC25" s="32">
        <f t="shared" si="5"/>
        <v>0</v>
      </c>
      <c r="BD25" s="32">
        <f t="shared" si="5"/>
        <v>0</v>
      </c>
      <c r="BE25" s="32">
        <f t="shared" si="5"/>
        <v>0</v>
      </c>
      <c r="BF25" s="32">
        <f t="shared" si="5"/>
        <v>543000</v>
      </c>
      <c r="BG25" s="32">
        <f t="shared" si="5"/>
        <v>55772</v>
      </c>
      <c r="BH25" s="32">
        <f>BH12+BH13+BH14+BH15+BH16+BH17+BH18+BH19+BH20+BH21+BH22+BH23+BH24</f>
        <v>2504261</v>
      </c>
      <c r="BI25" s="32">
        <f>BI12+BI13+BI14+BI15+BI16+BI17+BI18+BI19+BI20+BI21+BI22+BI23+BI24</f>
        <v>272300</v>
      </c>
      <c r="BJ25" s="32">
        <f t="shared" si="5"/>
        <v>1891910</v>
      </c>
      <c r="BK25" s="32">
        <f>BK12+BK13+BK14+BK15+BK16+BK17+BK18+BK19+BK20+BK21+BK22+BK23+BK24</f>
        <v>1350000</v>
      </c>
      <c r="BL25" s="32">
        <f>BL12+BL13+BL14+BL15+BL16+BL17+BL18+BL19+BL20+BL21+BL22+BL23+BL24</f>
        <v>11660100</v>
      </c>
      <c r="BM25" s="32">
        <f>BM12+BM13+BM14+BM15+BM16+BM17+BM18+BM19+BM20+BM21+BM22+BM23+BM24</f>
        <v>11660100</v>
      </c>
      <c r="BN25" s="32">
        <f>BN12+BN13+BN14+BN15+BN16+BN17+BN18+BN19+BN20+BN21+BN22+BN23+BN24</f>
        <v>2150000</v>
      </c>
      <c r="BO25" s="32">
        <f>BO12+BO13+BO14+BO15+BO16+BO17+BO18+BO19+BO20+BO21+BO22+BO23+BO24</f>
        <v>2961000</v>
      </c>
      <c r="BP25" s="32">
        <f t="shared" si="5"/>
        <v>476642</v>
      </c>
      <c r="BQ25" s="32">
        <f t="shared" si="5"/>
        <v>40000</v>
      </c>
      <c r="BR25" s="32">
        <f t="shared" si="5"/>
        <v>727700</v>
      </c>
      <c r="BS25" s="32">
        <f>BS12+BS13+BS14+BS15+BS16+BS17+BS18+BS19+BS20+BS21+BS22+BS23+BS24</f>
        <v>40000000</v>
      </c>
      <c r="BT25" s="32">
        <f>BT12+BT13+BT14+BT15+BT16+BT17+BT18+BT19+BT20+BT21+BT22+BT23+BT24</f>
        <v>5000000</v>
      </c>
      <c r="BU25" s="32">
        <f>BU12+BU13+BU14+BU15+BU16+BU17+BU18+BU19+BU20+BU21+BU22+BU23+BU24</f>
        <v>866851</v>
      </c>
      <c r="BV25" s="32">
        <f>BV12+BV13+BV14+BV15+BV16+BV17+BV18+BV19+BV20+BV21+BV22+BV23+BV24</f>
        <v>7500000</v>
      </c>
      <c r="BW25" s="31">
        <f t="shared" si="2"/>
        <v>83097807</v>
      </c>
    </row>
    <row r="26" spans="1:75" ht="74.25" customHeight="1" x14ac:dyDescent="0.8">
      <c r="A26" s="14" t="s">
        <v>30</v>
      </c>
      <c r="B26" s="15" t="s">
        <v>55</v>
      </c>
      <c r="C26" s="32"/>
      <c r="D26" s="32">
        <v>85794600</v>
      </c>
      <c r="E26" s="32">
        <f>85676100-15200000-10904000-100000-554610.77</f>
        <v>58917489.229999997</v>
      </c>
      <c r="F26" s="32">
        <f>2146000-121000</f>
        <v>2025000</v>
      </c>
      <c r="G26" s="31">
        <v>4954226</v>
      </c>
      <c r="H26" s="31"/>
      <c r="I26" s="31"/>
      <c r="J26" s="31"/>
      <c r="K26" s="31"/>
      <c r="L26" s="31"/>
      <c r="M26" s="31"/>
      <c r="N26" s="31"/>
      <c r="O26" s="31"/>
      <c r="P26" s="31">
        <f t="shared" si="0"/>
        <v>0</v>
      </c>
      <c r="Q26" s="31"/>
      <c r="R26" s="31"/>
      <c r="S26" s="31"/>
      <c r="T26" s="31"/>
      <c r="U26" s="31"/>
      <c r="V26" s="31"/>
      <c r="W26" s="31"/>
      <c r="X26" s="31"/>
      <c r="Y26" s="31"/>
      <c r="Z26" s="31">
        <v>657880</v>
      </c>
      <c r="AA26" s="31"/>
      <c r="AB26" s="31"/>
      <c r="AC26" s="31"/>
      <c r="AD26" s="31"/>
      <c r="AE26" s="31"/>
      <c r="AF26" s="31"/>
      <c r="AG26" s="31"/>
      <c r="AH26" s="31"/>
      <c r="AI26" s="31"/>
      <c r="AJ26" s="31"/>
      <c r="AK26" s="31">
        <f>365000+5000</f>
        <v>370000</v>
      </c>
      <c r="AL26" s="31"/>
      <c r="AM26" s="31">
        <v>90000</v>
      </c>
      <c r="AN26" s="31"/>
      <c r="AO26" s="31"/>
      <c r="AP26" s="31"/>
      <c r="AQ26" s="31"/>
      <c r="AR26" s="31">
        <f t="shared" si="1"/>
        <v>152809195.22999999</v>
      </c>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f t="shared" si="2"/>
        <v>0</v>
      </c>
    </row>
    <row r="27" spans="1:75" ht="74.25" customHeight="1" x14ac:dyDescent="0.8">
      <c r="A27" s="14" t="s">
        <v>31</v>
      </c>
      <c r="B27" s="15" t="s">
        <v>67</v>
      </c>
      <c r="C27" s="32"/>
      <c r="D27" s="32">
        <v>60618400</v>
      </c>
      <c r="E27" s="32">
        <f>45153600-6850000-8983500-350000-291001.93</f>
        <v>28679098.07</v>
      </c>
      <c r="F27" s="32">
        <f>1540900+151000</f>
        <v>1691900</v>
      </c>
      <c r="G27" s="31">
        <f>1656517+200000</f>
        <v>1856517</v>
      </c>
      <c r="H27" s="31"/>
      <c r="I27" s="31"/>
      <c r="J27" s="31"/>
      <c r="K27" s="31"/>
      <c r="L27" s="31"/>
      <c r="M27" s="31"/>
      <c r="N27" s="31"/>
      <c r="O27" s="31"/>
      <c r="P27" s="31">
        <f t="shared" si="0"/>
        <v>750000</v>
      </c>
      <c r="Q27" s="31"/>
      <c r="R27" s="31"/>
      <c r="S27" s="31"/>
      <c r="T27" s="31">
        <f>769228+430772-75000-375000</f>
        <v>750000</v>
      </c>
      <c r="U27" s="31"/>
      <c r="V27" s="31"/>
      <c r="W27" s="31"/>
      <c r="X27" s="31">
        <f>93984+540620</f>
        <v>634604</v>
      </c>
      <c r="Y27" s="31">
        <v>417614</v>
      </c>
      <c r="Z27" s="31"/>
      <c r="AA27" s="31"/>
      <c r="AB27" s="31"/>
      <c r="AC27" s="31"/>
      <c r="AD27" s="31"/>
      <c r="AE27" s="31"/>
      <c r="AF27" s="31"/>
      <c r="AG27" s="31"/>
      <c r="AH27" s="31"/>
      <c r="AI27" s="31"/>
      <c r="AJ27" s="31"/>
      <c r="AK27" s="31">
        <v>470000</v>
      </c>
      <c r="AL27" s="31"/>
      <c r="AM27" s="31">
        <f>59000+54000</f>
        <v>113000</v>
      </c>
      <c r="AN27" s="31"/>
      <c r="AO27" s="31">
        <v>260000</v>
      </c>
      <c r="AP27" s="31">
        <v>600000</v>
      </c>
      <c r="AQ27" s="31"/>
      <c r="AR27" s="31">
        <f t="shared" si="1"/>
        <v>96091133.069999993</v>
      </c>
      <c r="AS27" s="31"/>
      <c r="AT27" s="31"/>
      <c r="AU27" s="31"/>
      <c r="AV27" s="31"/>
      <c r="AW27" s="31"/>
      <c r="AX27" s="31"/>
      <c r="AY27" s="31"/>
      <c r="AZ27" s="31"/>
      <c r="BA27" s="31"/>
      <c r="BB27" s="31"/>
      <c r="BC27" s="31"/>
      <c r="BD27" s="31"/>
      <c r="BE27" s="31"/>
      <c r="BF27" s="31">
        <f>32000</f>
        <v>32000</v>
      </c>
      <c r="BG27" s="31"/>
      <c r="BH27" s="31"/>
      <c r="BI27" s="31"/>
      <c r="BJ27" s="31"/>
      <c r="BK27" s="31"/>
      <c r="BL27" s="31"/>
      <c r="BM27" s="31"/>
      <c r="BN27" s="31"/>
      <c r="BO27" s="31"/>
      <c r="BP27" s="31"/>
      <c r="BQ27" s="31"/>
      <c r="BR27" s="31"/>
      <c r="BS27" s="31"/>
      <c r="BT27" s="31"/>
      <c r="BU27" s="31"/>
      <c r="BV27" s="31"/>
      <c r="BW27" s="31">
        <f t="shared" si="2"/>
        <v>32000</v>
      </c>
    </row>
    <row r="28" spans="1:75" ht="74.25" customHeight="1" x14ac:dyDescent="0.8">
      <c r="A28" s="14" t="s">
        <v>32</v>
      </c>
      <c r="B28" s="15" t="s">
        <v>68</v>
      </c>
      <c r="C28" s="32"/>
      <c r="D28" s="32">
        <v>93301000</v>
      </c>
      <c r="E28" s="32">
        <f>66934900-10550000-2558800+40000-400568.18</f>
        <v>53465531.82</v>
      </c>
      <c r="F28" s="32">
        <f>3238600-322000-424000</f>
        <v>2492600</v>
      </c>
      <c r="G28" s="31">
        <v>7962859</v>
      </c>
      <c r="H28" s="31"/>
      <c r="I28" s="31"/>
      <c r="J28" s="31">
        <v>70187</v>
      </c>
      <c r="K28" s="31"/>
      <c r="L28" s="31"/>
      <c r="M28" s="31"/>
      <c r="N28" s="31"/>
      <c r="O28" s="31"/>
      <c r="P28" s="31">
        <f t="shared" si="0"/>
        <v>0</v>
      </c>
      <c r="Q28" s="31"/>
      <c r="R28" s="31"/>
      <c r="S28" s="31"/>
      <c r="T28" s="31"/>
      <c r="U28" s="31"/>
      <c r="V28" s="31"/>
      <c r="W28" s="31"/>
      <c r="X28" s="31"/>
      <c r="Y28" s="31">
        <v>588760</v>
      </c>
      <c r="Z28" s="31"/>
      <c r="AA28" s="31"/>
      <c r="AB28" s="31"/>
      <c r="AC28" s="31"/>
      <c r="AD28" s="31"/>
      <c r="AE28" s="31"/>
      <c r="AF28" s="31"/>
      <c r="AG28" s="31"/>
      <c r="AH28" s="31"/>
      <c r="AI28" s="31"/>
      <c r="AJ28" s="31"/>
      <c r="AK28" s="31">
        <f>680000+95000</f>
        <v>775000</v>
      </c>
      <c r="AL28" s="31"/>
      <c r="AM28" s="31">
        <f>130000+37000</f>
        <v>167000</v>
      </c>
      <c r="AN28" s="31">
        <f>1500000</f>
        <v>1500000</v>
      </c>
      <c r="AO28" s="31">
        <v>450000</v>
      </c>
      <c r="AP28" s="31"/>
      <c r="AQ28" s="31">
        <f>1437200+1500000</f>
        <v>2937200</v>
      </c>
      <c r="AR28" s="31">
        <f t="shared" si="1"/>
        <v>163710137.81999999</v>
      </c>
      <c r="AS28" s="31"/>
      <c r="AT28" s="31"/>
      <c r="AU28" s="31"/>
      <c r="AV28" s="31"/>
      <c r="AW28" s="31"/>
      <c r="AX28" s="31"/>
      <c r="AY28" s="31"/>
      <c r="AZ28" s="31"/>
      <c r="BA28" s="31"/>
      <c r="BB28" s="31"/>
      <c r="BC28" s="31"/>
      <c r="BD28" s="31"/>
      <c r="BE28" s="31"/>
      <c r="BF28" s="31"/>
      <c r="BG28" s="31"/>
      <c r="BH28" s="31"/>
      <c r="BI28" s="31"/>
      <c r="BJ28" s="31"/>
      <c r="BK28" s="31"/>
      <c r="BL28" s="31"/>
      <c r="BM28" s="31"/>
      <c r="BN28" s="31"/>
      <c r="BO28" s="31">
        <v>50000</v>
      </c>
      <c r="BP28" s="31"/>
      <c r="BQ28" s="31"/>
      <c r="BR28" s="31"/>
      <c r="BS28" s="31"/>
      <c r="BT28" s="31"/>
      <c r="BU28" s="31"/>
      <c r="BV28" s="31"/>
      <c r="BW28" s="31">
        <f t="shared" si="2"/>
        <v>50000</v>
      </c>
    </row>
    <row r="29" spans="1:75" ht="74.25" customHeight="1" x14ac:dyDescent="0.8">
      <c r="A29" s="14" t="s">
        <v>33</v>
      </c>
      <c r="B29" s="15" t="s">
        <v>117</v>
      </c>
      <c r="C29" s="32"/>
      <c r="D29" s="32">
        <v>99858400</v>
      </c>
      <c r="E29" s="32">
        <f>52320400-50000+1535100+560000-603138.2</f>
        <v>53762361.799999997</v>
      </c>
      <c r="F29" s="32">
        <f>1466400-45000</f>
        <v>1421400</v>
      </c>
      <c r="G29" s="31">
        <f>2150536-230000</f>
        <v>1920536</v>
      </c>
      <c r="H29" s="31"/>
      <c r="I29" s="31"/>
      <c r="J29" s="31"/>
      <c r="K29" s="31"/>
      <c r="L29" s="31"/>
      <c r="M29" s="31"/>
      <c r="N29" s="31"/>
      <c r="O29" s="31"/>
      <c r="P29" s="31">
        <f t="shared" si="0"/>
        <v>3895458</v>
      </c>
      <c r="Q29" s="31"/>
      <c r="R29" s="31"/>
      <c r="S29" s="31">
        <v>3895458</v>
      </c>
      <c r="T29" s="31"/>
      <c r="U29" s="31"/>
      <c r="V29" s="31"/>
      <c r="W29" s="31"/>
      <c r="X29" s="31">
        <f>53613</f>
        <v>53613</v>
      </c>
      <c r="Y29" s="31">
        <f>904064-105344</f>
        <v>798720</v>
      </c>
      <c r="Z29" s="31"/>
      <c r="AA29" s="31"/>
      <c r="AB29" s="31"/>
      <c r="AC29" s="31"/>
      <c r="AD29" s="31"/>
      <c r="AE29" s="31"/>
      <c r="AF29" s="31"/>
      <c r="AG29" s="31"/>
      <c r="AH29" s="31"/>
      <c r="AI29" s="31"/>
      <c r="AJ29" s="31"/>
      <c r="AK29" s="31">
        <f>1530000+20000</f>
        <v>1550000</v>
      </c>
      <c r="AL29" s="31"/>
      <c r="AM29" s="31">
        <f>200000-70000</f>
        <v>130000</v>
      </c>
      <c r="AN29" s="31"/>
      <c r="AO29" s="31"/>
      <c r="AP29" s="31"/>
      <c r="AQ29" s="31"/>
      <c r="AR29" s="31">
        <f t="shared" si="1"/>
        <v>163390488.80000001</v>
      </c>
      <c r="AS29" s="31"/>
      <c r="AT29" s="31"/>
      <c r="AU29" s="31"/>
      <c r="AV29" s="31">
        <f>7000000+11419000</f>
        <v>18419000</v>
      </c>
      <c r="AW29" s="31"/>
      <c r="AX29" s="31"/>
      <c r="AY29" s="31"/>
      <c r="AZ29" s="31"/>
      <c r="BA29" s="31"/>
      <c r="BB29" s="31"/>
      <c r="BC29" s="31"/>
      <c r="BD29" s="31"/>
      <c r="BE29" s="31"/>
      <c r="BF29" s="31">
        <f>54000</f>
        <v>54000</v>
      </c>
      <c r="BG29" s="31"/>
      <c r="BH29" s="31"/>
      <c r="BI29" s="31"/>
      <c r="BJ29" s="31"/>
      <c r="BK29" s="31"/>
      <c r="BL29" s="31"/>
      <c r="BM29" s="31"/>
      <c r="BN29" s="31"/>
      <c r="BO29" s="31"/>
      <c r="BP29" s="31"/>
      <c r="BQ29" s="31"/>
      <c r="BR29" s="31"/>
      <c r="BS29" s="31"/>
      <c r="BT29" s="31"/>
      <c r="BU29" s="31"/>
      <c r="BV29" s="31"/>
      <c r="BW29" s="31">
        <f t="shared" si="2"/>
        <v>18473000</v>
      </c>
    </row>
    <row r="30" spans="1:75" ht="74.25" customHeight="1" x14ac:dyDescent="0.8">
      <c r="A30" s="14" t="s">
        <v>34</v>
      </c>
      <c r="B30" s="15" t="s">
        <v>69</v>
      </c>
      <c r="C30" s="32"/>
      <c r="D30" s="32">
        <v>59589700</v>
      </c>
      <c r="E30" s="32">
        <f>31507500+5160000+66600+1168500+150000-369420.61</f>
        <v>37683179.390000001</v>
      </c>
      <c r="F30" s="32">
        <f>1545300+212000</f>
        <v>1757300</v>
      </c>
      <c r="G30" s="31">
        <v>1278854</v>
      </c>
      <c r="H30" s="31"/>
      <c r="I30" s="31"/>
      <c r="J30" s="31"/>
      <c r="K30" s="31"/>
      <c r="L30" s="31"/>
      <c r="M30" s="31"/>
      <c r="N30" s="31"/>
      <c r="O30" s="31"/>
      <c r="P30" s="31">
        <f t="shared" si="0"/>
        <v>0</v>
      </c>
      <c r="Q30" s="31"/>
      <c r="R30" s="31"/>
      <c r="S30" s="31"/>
      <c r="T30" s="31"/>
      <c r="U30" s="31"/>
      <c r="V30" s="31"/>
      <c r="W30" s="31"/>
      <c r="X30" s="31"/>
      <c r="Y30" s="31">
        <v>441358</v>
      </c>
      <c r="Z30" s="31"/>
      <c r="AA30" s="31"/>
      <c r="AB30" s="31"/>
      <c r="AC30" s="31"/>
      <c r="AD30" s="31"/>
      <c r="AE30" s="31"/>
      <c r="AF30" s="31"/>
      <c r="AG30" s="31"/>
      <c r="AH30" s="31"/>
      <c r="AI30" s="31"/>
      <c r="AJ30" s="31"/>
      <c r="AK30" s="33">
        <f>1322000-75000</f>
        <v>1247000</v>
      </c>
      <c r="AL30" s="33"/>
      <c r="AM30" s="33">
        <f>150000+190000</f>
        <v>340000</v>
      </c>
      <c r="AN30" s="33"/>
      <c r="AO30" s="33">
        <v>1000000</v>
      </c>
      <c r="AP30" s="33"/>
      <c r="AQ30" s="33"/>
      <c r="AR30" s="31">
        <f t="shared" si="1"/>
        <v>103337391.39</v>
      </c>
      <c r="AS30" s="33"/>
      <c r="AT30" s="33"/>
      <c r="AU30" s="33"/>
      <c r="AV30" s="33"/>
      <c r="AW30" s="33"/>
      <c r="AX30" s="33"/>
      <c r="AY30" s="33"/>
      <c r="AZ30" s="33"/>
      <c r="BA30" s="33"/>
      <c r="BB30" s="33"/>
      <c r="BC30" s="33"/>
      <c r="BD30" s="33"/>
      <c r="BE30" s="33"/>
      <c r="BF30" s="33">
        <v>45000</v>
      </c>
      <c r="BG30" s="33"/>
      <c r="BH30" s="33"/>
      <c r="BI30" s="33"/>
      <c r="BJ30" s="33"/>
      <c r="BK30" s="33"/>
      <c r="BL30" s="33"/>
      <c r="BM30" s="33"/>
      <c r="BN30" s="33"/>
      <c r="BO30" s="33"/>
      <c r="BP30" s="33"/>
      <c r="BQ30" s="33"/>
      <c r="BR30" s="33"/>
      <c r="BS30" s="33"/>
      <c r="BT30" s="33"/>
      <c r="BU30" s="33"/>
      <c r="BV30" s="33"/>
      <c r="BW30" s="31">
        <f t="shared" si="2"/>
        <v>45000</v>
      </c>
    </row>
    <row r="31" spans="1:75" ht="74.25" customHeight="1" x14ac:dyDescent="0.8">
      <c r="A31" s="14" t="s">
        <v>35</v>
      </c>
      <c r="B31" s="15" t="s">
        <v>70</v>
      </c>
      <c r="C31" s="32"/>
      <c r="D31" s="32">
        <v>60296200</v>
      </c>
      <c r="E31" s="32">
        <f>47207500-150000-43300+650000-652767.63</f>
        <v>47011432.369999997</v>
      </c>
      <c r="F31" s="32">
        <f>1517300+15000</f>
        <v>1532300</v>
      </c>
      <c r="G31" s="31">
        <v>2877281</v>
      </c>
      <c r="H31" s="31"/>
      <c r="I31" s="31"/>
      <c r="J31" s="31"/>
      <c r="K31" s="31"/>
      <c r="L31" s="31"/>
      <c r="M31" s="31"/>
      <c r="N31" s="31"/>
      <c r="O31" s="31"/>
      <c r="P31" s="31">
        <f t="shared" si="0"/>
        <v>6500080</v>
      </c>
      <c r="Q31" s="31"/>
      <c r="R31" s="31"/>
      <c r="S31" s="31"/>
      <c r="T31" s="31">
        <f>769228-369228-25000-375000</f>
        <v>0</v>
      </c>
      <c r="U31" s="31">
        <v>6500080</v>
      </c>
      <c r="V31" s="31"/>
      <c r="W31" s="31"/>
      <c r="X31" s="31">
        <f>107227</f>
        <v>107227</v>
      </c>
      <c r="Y31" s="31">
        <v>395364</v>
      </c>
      <c r="Z31" s="31">
        <v>584562</v>
      </c>
      <c r="AA31" s="31"/>
      <c r="AB31" s="31"/>
      <c r="AC31" s="31"/>
      <c r="AD31" s="31"/>
      <c r="AE31" s="31"/>
      <c r="AF31" s="31"/>
      <c r="AG31" s="31"/>
      <c r="AH31" s="31"/>
      <c r="AI31" s="31"/>
      <c r="AJ31" s="31"/>
      <c r="AK31" s="33">
        <f>520000-158000</f>
        <v>362000</v>
      </c>
      <c r="AL31" s="33"/>
      <c r="AM31" s="33">
        <f>74000+100000</f>
        <v>174000</v>
      </c>
      <c r="AN31" s="33"/>
      <c r="AO31" s="33"/>
      <c r="AP31" s="33"/>
      <c r="AQ31" s="33"/>
      <c r="AR31" s="31">
        <f t="shared" si="1"/>
        <v>119840446.37</v>
      </c>
      <c r="AS31" s="33"/>
      <c r="AT31" s="33"/>
      <c r="AU31" s="33"/>
      <c r="AV31" s="33"/>
      <c r="AW31" s="33"/>
      <c r="AX31" s="33"/>
      <c r="AY31" s="33"/>
      <c r="AZ31" s="33"/>
      <c r="BA31" s="33"/>
      <c r="BB31" s="33"/>
      <c r="BC31" s="33"/>
      <c r="BD31" s="33"/>
      <c r="BE31" s="33"/>
      <c r="BF31" s="33">
        <v>35000</v>
      </c>
      <c r="BG31" s="33"/>
      <c r="BH31" s="33"/>
      <c r="BI31" s="33"/>
      <c r="BJ31" s="33"/>
      <c r="BK31" s="33"/>
      <c r="BL31" s="33"/>
      <c r="BM31" s="33"/>
      <c r="BN31" s="33"/>
      <c r="BO31" s="33"/>
      <c r="BP31" s="33"/>
      <c r="BQ31" s="33"/>
      <c r="BR31" s="33"/>
      <c r="BS31" s="33"/>
      <c r="BT31" s="33"/>
      <c r="BU31" s="33"/>
      <c r="BV31" s="33"/>
      <c r="BW31" s="31">
        <f t="shared" si="2"/>
        <v>35000</v>
      </c>
    </row>
    <row r="32" spans="1:75" ht="74.25" customHeight="1" x14ac:dyDescent="0.8">
      <c r="A32" s="14" t="s">
        <v>36</v>
      </c>
      <c r="B32" s="15" t="s">
        <v>71</v>
      </c>
      <c r="C32" s="32"/>
      <c r="D32" s="32">
        <v>52268000</v>
      </c>
      <c r="E32" s="32">
        <f>48078700-6800000+220400+560000-496342.07</f>
        <v>41562757.93</v>
      </c>
      <c r="F32" s="32">
        <f>773900-79000</f>
        <v>694900</v>
      </c>
      <c r="G32" s="31">
        <v>1845812</v>
      </c>
      <c r="H32" s="31"/>
      <c r="I32" s="31"/>
      <c r="J32" s="31"/>
      <c r="K32" s="31"/>
      <c r="L32" s="31"/>
      <c r="M32" s="31"/>
      <c r="N32" s="31"/>
      <c r="O32" s="31"/>
      <c r="P32" s="31">
        <f t="shared" si="0"/>
        <v>0</v>
      </c>
      <c r="Q32" s="31"/>
      <c r="R32" s="31"/>
      <c r="S32" s="31"/>
      <c r="T32" s="31"/>
      <c r="U32" s="31"/>
      <c r="V32" s="31"/>
      <c r="W32" s="31"/>
      <c r="X32" s="31"/>
      <c r="Y32" s="31">
        <v>307436</v>
      </c>
      <c r="Z32" s="31"/>
      <c r="AA32" s="31"/>
      <c r="AB32" s="31"/>
      <c r="AC32" s="31"/>
      <c r="AD32" s="31"/>
      <c r="AE32" s="31"/>
      <c r="AF32" s="31"/>
      <c r="AG32" s="31"/>
      <c r="AH32" s="31"/>
      <c r="AI32" s="31"/>
      <c r="AJ32" s="31"/>
      <c r="AK32" s="33">
        <f>515000-15000</f>
        <v>500000</v>
      </c>
      <c r="AL32" s="33"/>
      <c r="AM32" s="33">
        <f>39000+107000</f>
        <v>146000</v>
      </c>
      <c r="AN32" s="33"/>
      <c r="AO32" s="33"/>
      <c r="AP32" s="33"/>
      <c r="AQ32" s="33"/>
      <c r="AR32" s="31">
        <f t="shared" si="1"/>
        <v>97324905.930000007</v>
      </c>
      <c r="AS32" s="33"/>
      <c r="AT32" s="33"/>
      <c r="AU32" s="33">
        <f>232676</f>
        <v>232676</v>
      </c>
      <c r="AV32" s="33">
        <v>1000000</v>
      </c>
      <c r="AW32" s="33"/>
      <c r="AX32" s="33"/>
      <c r="AY32" s="33"/>
      <c r="AZ32" s="33"/>
      <c r="BA32" s="33"/>
      <c r="BB32" s="33"/>
      <c r="BC32" s="33"/>
      <c r="BD32" s="33"/>
      <c r="BE32" s="33"/>
      <c r="BF32" s="33">
        <v>34000</v>
      </c>
      <c r="BG32" s="33"/>
      <c r="BH32" s="33"/>
      <c r="BI32" s="33"/>
      <c r="BJ32" s="33"/>
      <c r="BK32" s="33"/>
      <c r="BL32" s="33"/>
      <c r="BM32" s="33"/>
      <c r="BN32" s="33"/>
      <c r="BO32" s="33"/>
      <c r="BP32" s="33"/>
      <c r="BQ32" s="33"/>
      <c r="BR32" s="33"/>
      <c r="BS32" s="33"/>
      <c r="BT32" s="33"/>
      <c r="BU32" s="33"/>
      <c r="BV32" s="33">
        <f>1000000</f>
        <v>1000000</v>
      </c>
      <c r="BW32" s="31">
        <f t="shared" si="2"/>
        <v>2266676</v>
      </c>
    </row>
    <row r="33" spans="1:75" ht="74.25" customHeight="1" x14ac:dyDescent="0.8">
      <c r="A33" s="14" t="s">
        <v>37</v>
      </c>
      <c r="B33" s="15" t="s">
        <v>72</v>
      </c>
      <c r="C33" s="32"/>
      <c r="D33" s="32">
        <v>40545800</v>
      </c>
      <c r="E33" s="32">
        <f>22718800+220000-4130500-13683100-863700-190000-38301.85</f>
        <v>4033198.15</v>
      </c>
      <c r="F33" s="32">
        <f>4937900-638000</f>
        <v>4299900</v>
      </c>
      <c r="G33" s="31">
        <v>803909</v>
      </c>
      <c r="H33" s="31"/>
      <c r="I33" s="31"/>
      <c r="J33" s="31"/>
      <c r="K33" s="31"/>
      <c r="L33" s="31"/>
      <c r="M33" s="31"/>
      <c r="N33" s="31"/>
      <c r="O33" s="31"/>
      <c r="P33" s="31">
        <f t="shared" si="0"/>
        <v>6500080</v>
      </c>
      <c r="Q33" s="31"/>
      <c r="R33" s="31"/>
      <c r="S33" s="31"/>
      <c r="T33" s="31"/>
      <c r="U33" s="31">
        <v>6500080</v>
      </c>
      <c r="V33" s="31"/>
      <c r="W33" s="31"/>
      <c r="X33" s="31"/>
      <c r="Y33" s="31">
        <v>206819</v>
      </c>
      <c r="Z33" s="31">
        <v>456935</v>
      </c>
      <c r="AA33" s="31"/>
      <c r="AB33" s="31"/>
      <c r="AC33" s="31"/>
      <c r="AD33" s="31"/>
      <c r="AE33" s="31"/>
      <c r="AF33" s="31"/>
      <c r="AG33" s="31"/>
      <c r="AH33" s="31"/>
      <c r="AI33" s="31"/>
      <c r="AJ33" s="31"/>
      <c r="AK33" s="33">
        <f>615000-50000</f>
        <v>565000</v>
      </c>
      <c r="AL33" s="33"/>
      <c r="AM33" s="33">
        <f>70000+190000</f>
        <v>260000</v>
      </c>
      <c r="AN33" s="33"/>
      <c r="AO33" s="33">
        <v>570000</v>
      </c>
      <c r="AP33" s="33"/>
      <c r="AQ33" s="33"/>
      <c r="AR33" s="31">
        <f t="shared" si="1"/>
        <v>58241641.149999999</v>
      </c>
      <c r="AS33" s="33"/>
      <c r="AT33" s="33"/>
      <c r="AU33" s="33"/>
      <c r="AV33" s="33"/>
      <c r="AW33" s="33"/>
      <c r="AX33" s="33"/>
      <c r="AY33" s="33"/>
      <c r="AZ33" s="33"/>
      <c r="BA33" s="33"/>
      <c r="BB33" s="33"/>
      <c r="BC33" s="33"/>
      <c r="BD33" s="33"/>
      <c r="BE33" s="33"/>
      <c r="BF33" s="33">
        <v>24000</v>
      </c>
      <c r="BG33" s="33"/>
      <c r="BH33" s="33"/>
      <c r="BI33" s="33"/>
      <c r="BJ33" s="33"/>
      <c r="BK33" s="33"/>
      <c r="BL33" s="33"/>
      <c r="BM33" s="33"/>
      <c r="BN33" s="33"/>
      <c r="BO33" s="33"/>
      <c r="BP33" s="33"/>
      <c r="BQ33" s="33"/>
      <c r="BR33" s="33"/>
      <c r="BS33" s="33"/>
      <c r="BT33" s="33"/>
      <c r="BU33" s="33"/>
      <c r="BV33" s="33"/>
      <c r="BW33" s="31">
        <f t="shared" si="2"/>
        <v>24000</v>
      </c>
    </row>
    <row r="34" spans="1:75" ht="74.25" customHeight="1" x14ac:dyDescent="0.8">
      <c r="A34" s="14" t="s">
        <v>38</v>
      </c>
      <c r="B34" s="15" t="s">
        <v>73</v>
      </c>
      <c r="C34" s="32"/>
      <c r="D34" s="32">
        <v>59212900</v>
      </c>
      <c r="E34" s="32">
        <f>58811400-11700000-10000000-1916100-30000-327972.34</f>
        <v>34837327.659999996</v>
      </c>
      <c r="F34" s="32">
        <f>848600-153000</f>
        <v>695600</v>
      </c>
      <c r="G34" s="31">
        <f>2170805-200000</f>
        <v>1970805</v>
      </c>
      <c r="H34" s="31"/>
      <c r="I34" s="31"/>
      <c r="J34" s="31"/>
      <c r="K34" s="31"/>
      <c r="L34" s="31"/>
      <c r="M34" s="31"/>
      <c r="N34" s="31"/>
      <c r="O34" s="31"/>
      <c r="P34" s="31">
        <f t="shared" si="0"/>
        <v>1125000</v>
      </c>
      <c r="Q34" s="31"/>
      <c r="R34" s="31"/>
      <c r="S34" s="31"/>
      <c r="T34" s="31">
        <f>1538456-338456-75000</f>
        <v>1125000</v>
      </c>
      <c r="U34" s="31"/>
      <c r="V34" s="31"/>
      <c r="W34" s="31"/>
      <c r="X34" s="31">
        <f>328944+1175864</f>
        <v>1504808</v>
      </c>
      <c r="Y34" s="31">
        <v>460478</v>
      </c>
      <c r="Z34" s="31"/>
      <c r="AA34" s="31"/>
      <c r="AB34" s="31"/>
      <c r="AC34" s="31"/>
      <c r="AD34" s="31"/>
      <c r="AE34" s="31"/>
      <c r="AF34" s="31"/>
      <c r="AG34" s="31"/>
      <c r="AH34" s="31"/>
      <c r="AI34" s="31"/>
      <c r="AJ34" s="31"/>
      <c r="AK34" s="33">
        <f>970000-38000</f>
        <v>932000</v>
      </c>
      <c r="AL34" s="33"/>
      <c r="AM34" s="33">
        <f>130000+69000</f>
        <v>199000</v>
      </c>
      <c r="AN34" s="33"/>
      <c r="AO34" s="33">
        <v>500000</v>
      </c>
      <c r="AP34" s="33"/>
      <c r="AQ34" s="33"/>
      <c r="AR34" s="31">
        <f t="shared" si="1"/>
        <v>101437918.66</v>
      </c>
      <c r="AS34" s="33"/>
      <c r="AT34" s="33"/>
      <c r="AU34" s="33"/>
      <c r="AV34" s="33"/>
      <c r="AW34" s="33"/>
      <c r="AX34" s="33"/>
      <c r="AY34" s="33"/>
      <c r="AZ34" s="33"/>
      <c r="BA34" s="33"/>
      <c r="BB34" s="33"/>
      <c r="BC34" s="33"/>
      <c r="BD34" s="33"/>
      <c r="BE34" s="33"/>
      <c r="BF34" s="33">
        <v>41000</v>
      </c>
      <c r="BG34" s="33"/>
      <c r="BH34" s="33"/>
      <c r="BI34" s="33"/>
      <c r="BJ34" s="33"/>
      <c r="BK34" s="33"/>
      <c r="BL34" s="33"/>
      <c r="BM34" s="33"/>
      <c r="BN34" s="33"/>
      <c r="BO34" s="33"/>
      <c r="BP34" s="33"/>
      <c r="BQ34" s="33"/>
      <c r="BR34" s="33"/>
      <c r="BS34" s="33"/>
      <c r="BT34" s="33"/>
      <c r="BU34" s="33"/>
      <c r="BV34" s="33"/>
      <c r="BW34" s="31">
        <f t="shared" si="2"/>
        <v>41000</v>
      </c>
    </row>
    <row r="35" spans="1:75" ht="74.25" customHeight="1" x14ac:dyDescent="0.8">
      <c r="A35" s="14" t="s">
        <v>39</v>
      </c>
      <c r="B35" s="15" t="s">
        <v>74</v>
      </c>
      <c r="C35" s="32"/>
      <c r="D35" s="32">
        <v>89209100</v>
      </c>
      <c r="E35" s="32">
        <f>72096300-8900000-10000000-4568500+35000-97801.81</f>
        <v>48564998.189999998</v>
      </c>
      <c r="F35" s="32">
        <f>979200+276000</f>
        <v>1255200</v>
      </c>
      <c r="G35" s="31">
        <f>2594555-100000</f>
        <v>2494555</v>
      </c>
      <c r="H35" s="31"/>
      <c r="I35" s="31"/>
      <c r="J35" s="31">
        <f>398930.69</f>
        <v>398930.69</v>
      </c>
      <c r="K35" s="31">
        <v>111600</v>
      </c>
      <c r="L35" s="31">
        <v>109900</v>
      </c>
      <c r="M35" s="31">
        <v>1700</v>
      </c>
      <c r="N35" s="31"/>
      <c r="O35" s="31"/>
      <c r="P35" s="31">
        <f t="shared" si="0"/>
        <v>375000</v>
      </c>
      <c r="Q35" s="31"/>
      <c r="R35" s="31"/>
      <c r="S35" s="31"/>
      <c r="T35" s="31">
        <f>192307+207693-25000</f>
        <v>375000</v>
      </c>
      <c r="U35" s="31"/>
      <c r="V35" s="31"/>
      <c r="W35" s="31"/>
      <c r="X35" s="31">
        <f>23496+95479</f>
        <v>118975</v>
      </c>
      <c r="Y35" s="31">
        <v>936212</v>
      </c>
      <c r="Z35" s="31">
        <v>491730</v>
      </c>
      <c r="AA35" s="31"/>
      <c r="AB35" s="31"/>
      <c r="AC35" s="31"/>
      <c r="AD35" s="31"/>
      <c r="AE35" s="31"/>
      <c r="AF35" s="31"/>
      <c r="AG35" s="31"/>
      <c r="AH35" s="31"/>
      <c r="AI35" s="31"/>
      <c r="AJ35" s="31"/>
      <c r="AK35" s="33">
        <f>2012000+20000</f>
        <v>2032000</v>
      </c>
      <c r="AL35" s="33"/>
      <c r="AM35" s="33">
        <f>78000+199000</f>
        <v>277000</v>
      </c>
      <c r="AN35" s="33"/>
      <c r="AO35" s="33"/>
      <c r="AP35" s="33">
        <v>600000</v>
      </c>
      <c r="AQ35" s="33"/>
      <c r="AR35" s="31">
        <f t="shared" si="1"/>
        <v>146865300.88</v>
      </c>
      <c r="AS35" s="33"/>
      <c r="AT35" s="33"/>
      <c r="AU35" s="33"/>
      <c r="AV35" s="33">
        <v>7000000</v>
      </c>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1">
        <f t="shared" si="2"/>
        <v>7000000</v>
      </c>
    </row>
    <row r="36" spans="1:75" ht="74.25" customHeight="1" x14ac:dyDescent="0.8">
      <c r="A36" s="14" t="s">
        <v>40</v>
      </c>
      <c r="B36" s="15" t="s">
        <v>75</v>
      </c>
      <c r="C36" s="32"/>
      <c r="D36" s="32">
        <v>37022200</v>
      </c>
      <c r="E36" s="32">
        <f>32244500-9620000-5575700-120000-231548.26</f>
        <v>16697251.74</v>
      </c>
      <c r="F36" s="32">
        <f>2299000-390000</f>
        <v>1909000</v>
      </c>
      <c r="G36" s="31">
        <v>741127</v>
      </c>
      <c r="H36" s="31"/>
      <c r="I36" s="31"/>
      <c r="J36" s="31"/>
      <c r="K36" s="31"/>
      <c r="L36" s="31"/>
      <c r="M36" s="31"/>
      <c r="N36" s="31"/>
      <c r="O36" s="31"/>
      <c r="P36" s="31">
        <f t="shared" si="0"/>
        <v>0</v>
      </c>
      <c r="Q36" s="31"/>
      <c r="R36" s="31"/>
      <c r="S36" s="31"/>
      <c r="T36" s="31">
        <f>192307-192307</f>
        <v>0</v>
      </c>
      <c r="U36" s="31"/>
      <c r="V36" s="31"/>
      <c r="W36" s="31"/>
      <c r="X36" s="31">
        <f>23496+149092</f>
        <v>172588</v>
      </c>
      <c r="Y36" s="31">
        <v>370661</v>
      </c>
      <c r="Z36" s="31"/>
      <c r="AA36" s="31"/>
      <c r="AB36" s="31"/>
      <c r="AC36" s="31"/>
      <c r="AD36" s="31"/>
      <c r="AE36" s="31"/>
      <c r="AF36" s="31"/>
      <c r="AG36" s="31"/>
      <c r="AH36" s="31"/>
      <c r="AI36" s="31"/>
      <c r="AJ36" s="31"/>
      <c r="AK36" s="33">
        <v>535000</v>
      </c>
      <c r="AL36" s="33"/>
      <c r="AM36" s="33">
        <f>100000+180000</f>
        <v>280000</v>
      </c>
      <c r="AN36" s="33">
        <f>800000</f>
        <v>800000</v>
      </c>
      <c r="AO36" s="33">
        <f>94102.8+500000</f>
        <v>594102.80000000005</v>
      </c>
      <c r="AP36" s="33"/>
      <c r="AQ36" s="33"/>
      <c r="AR36" s="31">
        <f t="shared" si="1"/>
        <v>59121930.539999999</v>
      </c>
      <c r="AS36" s="33"/>
      <c r="AT36" s="33"/>
      <c r="AU36" s="33"/>
      <c r="AV36" s="33"/>
      <c r="AW36" s="33"/>
      <c r="AX36" s="33"/>
      <c r="AY36" s="33"/>
      <c r="AZ36" s="33"/>
      <c r="BA36" s="33"/>
      <c r="BB36" s="33"/>
      <c r="BC36" s="33"/>
      <c r="BD36" s="33"/>
      <c r="BE36" s="33"/>
      <c r="BF36" s="33">
        <v>13000</v>
      </c>
      <c r="BG36" s="33"/>
      <c r="BH36" s="33"/>
      <c r="BI36" s="33"/>
      <c r="BJ36" s="33"/>
      <c r="BK36" s="33"/>
      <c r="BL36" s="33"/>
      <c r="BM36" s="33"/>
      <c r="BN36" s="33"/>
      <c r="BO36" s="33"/>
      <c r="BP36" s="33"/>
      <c r="BQ36" s="33"/>
      <c r="BR36" s="33"/>
      <c r="BS36" s="33"/>
      <c r="BT36" s="33"/>
      <c r="BU36" s="33"/>
      <c r="BV36" s="33"/>
      <c r="BW36" s="31">
        <f t="shared" si="2"/>
        <v>13000</v>
      </c>
    </row>
    <row r="37" spans="1:75" ht="74.25" customHeight="1" x14ac:dyDescent="0.8">
      <c r="A37" s="14" t="s">
        <v>41</v>
      </c>
      <c r="B37" s="15" t="s">
        <v>76</v>
      </c>
      <c r="C37" s="32"/>
      <c r="D37" s="32">
        <v>32547700</v>
      </c>
      <c r="E37" s="32">
        <f>29502800-2240000-6755400-170000-263198.92</f>
        <v>20074201.079999998</v>
      </c>
      <c r="F37" s="32">
        <f>1085200+194000</f>
        <v>1279200</v>
      </c>
      <c r="G37" s="31">
        <v>1408971</v>
      </c>
      <c r="H37" s="31"/>
      <c r="I37" s="31"/>
      <c r="J37" s="31"/>
      <c r="K37" s="31"/>
      <c r="L37" s="31"/>
      <c r="M37" s="31"/>
      <c r="N37" s="31"/>
      <c r="O37" s="31"/>
      <c r="P37" s="31">
        <f t="shared" si="0"/>
        <v>6500080</v>
      </c>
      <c r="Q37" s="31"/>
      <c r="R37" s="31"/>
      <c r="S37" s="31"/>
      <c r="T37" s="31">
        <f>384614-384614</f>
        <v>0</v>
      </c>
      <c r="U37" s="31">
        <v>6500080</v>
      </c>
      <c r="V37" s="31"/>
      <c r="W37" s="31"/>
      <c r="X37" s="31">
        <f>321681</f>
        <v>321681</v>
      </c>
      <c r="Y37" s="31">
        <v>280167</v>
      </c>
      <c r="Z37" s="31"/>
      <c r="AA37" s="31"/>
      <c r="AB37" s="31"/>
      <c r="AC37" s="31"/>
      <c r="AD37" s="31"/>
      <c r="AE37" s="31"/>
      <c r="AF37" s="31"/>
      <c r="AG37" s="31"/>
      <c r="AH37" s="31"/>
      <c r="AI37" s="31"/>
      <c r="AJ37" s="31"/>
      <c r="AK37" s="33">
        <f>480000+20000</f>
        <v>500000</v>
      </c>
      <c r="AL37" s="33"/>
      <c r="AM37" s="33">
        <f>80000+90000</f>
        <v>170000</v>
      </c>
      <c r="AN37" s="33"/>
      <c r="AO37" s="33">
        <v>500000</v>
      </c>
      <c r="AP37" s="33"/>
      <c r="AQ37" s="33"/>
      <c r="AR37" s="31">
        <f t="shared" si="1"/>
        <v>63582000.079999998</v>
      </c>
      <c r="AS37" s="33"/>
      <c r="AT37" s="33"/>
      <c r="AU37" s="33"/>
      <c r="AV37" s="33"/>
      <c r="AW37" s="33"/>
      <c r="AX37" s="33"/>
      <c r="AY37" s="33"/>
      <c r="AZ37" s="33"/>
      <c r="BA37" s="33"/>
      <c r="BB37" s="33"/>
      <c r="BC37" s="33"/>
      <c r="BD37" s="33"/>
      <c r="BE37" s="33"/>
      <c r="BF37" s="33">
        <f>26000</f>
        <v>26000</v>
      </c>
      <c r="BG37" s="33"/>
      <c r="BH37" s="33"/>
      <c r="BI37" s="33"/>
      <c r="BJ37" s="33"/>
      <c r="BK37" s="33"/>
      <c r="BL37" s="33"/>
      <c r="BM37" s="33"/>
      <c r="BN37" s="33"/>
      <c r="BO37" s="33"/>
      <c r="BP37" s="33"/>
      <c r="BQ37" s="33"/>
      <c r="BR37" s="33"/>
      <c r="BS37" s="33"/>
      <c r="BT37" s="33"/>
      <c r="BU37" s="33"/>
      <c r="BV37" s="33">
        <v>3000000</v>
      </c>
      <c r="BW37" s="31">
        <f t="shared" si="2"/>
        <v>3026000</v>
      </c>
    </row>
    <row r="38" spans="1:75" ht="74.25" customHeight="1" x14ac:dyDescent="0.8">
      <c r="A38" s="14" t="s">
        <v>42</v>
      </c>
      <c r="B38" s="15" t="s">
        <v>77</v>
      </c>
      <c r="C38" s="32"/>
      <c r="D38" s="32">
        <v>36317600</v>
      </c>
      <c r="E38" s="32">
        <f>21033500-2450000-3898900-130000-153358.64</f>
        <v>14401241.359999999</v>
      </c>
      <c r="F38" s="32">
        <f>3188200+384500</f>
        <v>3572700</v>
      </c>
      <c r="G38" s="31">
        <v>1403589</v>
      </c>
      <c r="H38" s="31"/>
      <c r="I38" s="31"/>
      <c r="J38" s="31"/>
      <c r="K38" s="31"/>
      <c r="L38" s="31"/>
      <c r="M38" s="31"/>
      <c r="N38" s="31"/>
      <c r="O38" s="31"/>
      <c r="P38" s="31">
        <f t="shared" si="0"/>
        <v>375000</v>
      </c>
      <c r="Q38" s="31"/>
      <c r="R38" s="31"/>
      <c r="S38" s="31"/>
      <c r="T38" s="31">
        <f>384614+15386-25000</f>
        <v>375000</v>
      </c>
      <c r="U38" s="31"/>
      <c r="V38" s="31"/>
      <c r="W38" s="31"/>
      <c r="X38" s="31">
        <f>70488+286437</f>
        <v>356925</v>
      </c>
      <c r="Y38" s="31">
        <v>269536</v>
      </c>
      <c r="Z38" s="31"/>
      <c r="AA38" s="31"/>
      <c r="AB38" s="31"/>
      <c r="AC38" s="31"/>
      <c r="AD38" s="31"/>
      <c r="AE38" s="31"/>
      <c r="AF38" s="31"/>
      <c r="AG38" s="31"/>
      <c r="AH38" s="31"/>
      <c r="AI38" s="31"/>
      <c r="AJ38" s="31"/>
      <c r="AK38" s="33">
        <f>265000+65000</f>
        <v>330000</v>
      </c>
      <c r="AL38" s="33"/>
      <c r="AM38" s="33">
        <f>80000+80000</f>
        <v>160000</v>
      </c>
      <c r="AN38" s="33"/>
      <c r="AO38" s="33"/>
      <c r="AP38" s="33"/>
      <c r="AQ38" s="33"/>
      <c r="AR38" s="31">
        <f t="shared" si="1"/>
        <v>57186591.359999999</v>
      </c>
      <c r="AS38" s="33"/>
      <c r="AT38" s="33"/>
      <c r="AU38" s="33"/>
      <c r="AV38" s="33"/>
      <c r="AW38" s="33"/>
      <c r="AX38" s="33"/>
      <c r="AY38" s="33"/>
      <c r="AZ38" s="33"/>
      <c r="BA38" s="33"/>
      <c r="BB38" s="33"/>
      <c r="BC38" s="33"/>
      <c r="BD38" s="33"/>
      <c r="BE38" s="33"/>
      <c r="BF38" s="33">
        <v>26000</v>
      </c>
      <c r="BG38" s="33"/>
      <c r="BH38" s="33"/>
      <c r="BI38" s="33"/>
      <c r="BJ38" s="33"/>
      <c r="BK38" s="33"/>
      <c r="BL38" s="33"/>
      <c r="BM38" s="33"/>
      <c r="BN38" s="33"/>
      <c r="BO38" s="33"/>
      <c r="BP38" s="33"/>
      <c r="BQ38" s="33"/>
      <c r="BR38" s="33"/>
      <c r="BS38" s="33"/>
      <c r="BT38" s="33"/>
      <c r="BU38" s="33"/>
      <c r="BV38" s="33"/>
      <c r="BW38" s="31">
        <f t="shared" si="2"/>
        <v>26000</v>
      </c>
    </row>
    <row r="39" spans="1:75" ht="74.25" customHeight="1" x14ac:dyDescent="0.8">
      <c r="A39" s="14" t="s">
        <v>43</v>
      </c>
      <c r="B39" s="15" t="s">
        <v>78</v>
      </c>
      <c r="C39" s="32"/>
      <c r="D39" s="32">
        <v>45851600</v>
      </c>
      <c r="E39" s="32">
        <f>56332500-6750000-10000000-3969500+50000-289169.21</f>
        <v>35373830.789999999</v>
      </c>
      <c r="F39" s="32">
        <f>779200+33000</f>
        <v>812200</v>
      </c>
      <c r="G39" s="31">
        <f>2032331+300000</f>
        <v>2332331</v>
      </c>
      <c r="H39" s="31"/>
      <c r="I39" s="31"/>
      <c r="J39" s="31"/>
      <c r="K39" s="31"/>
      <c r="L39" s="31"/>
      <c r="M39" s="31"/>
      <c r="N39" s="31"/>
      <c r="O39" s="31"/>
      <c r="P39" s="31">
        <f t="shared" si="0"/>
        <v>0</v>
      </c>
      <c r="Q39" s="31"/>
      <c r="R39" s="31"/>
      <c r="S39" s="31"/>
      <c r="T39" s="31">
        <f>576921+223079-50000-750000</f>
        <v>0</v>
      </c>
      <c r="U39" s="31"/>
      <c r="V39" s="31"/>
      <c r="W39" s="31"/>
      <c r="X39" s="31">
        <f>258456-140976</f>
        <v>117480</v>
      </c>
      <c r="Y39" s="31">
        <v>407123</v>
      </c>
      <c r="Z39" s="31"/>
      <c r="AA39" s="31"/>
      <c r="AB39" s="31"/>
      <c r="AC39" s="31"/>
      <c r="AD39" s="31"/>
      <c r="AE39" s="31"/>
      <c r="AF39" s="31"/>
      <c r="AG39" s="31"/>
      <c r="AH39" s="31"/>
      <c r="AI39" s="31"/>
      <c r="AJ39" s="31">
        <f>700000</f>
        <v>700000</v>
      </c>
      <c r="AK39" s="33">
        <f>520000-90000</f>
        <v>430000</v>
      </c>
      <c r="AL39" s="33"/>
      <c r="AM39" s="33">
        <f>100000+90000</f>
        <v>190000</v>
      </c>
      <c r="AN39" s="33"/>
      <c r="AO39" s="33">
        <v>131300</v>
      </c>
      <c r="AP39" s="33">
        <v>700000</v>
      </c>
      <c r="AQ39" s="33"/>
      <c r="AR39" s="31">
        <f t="shared" si="1"/>
        <v>87045864.789999992</v>
      </c>
      <c r="AS39" s="33"/>
      <c r="AT39" s="33"/>
      <c r="AU39" s="33"/>
      <c r="AV39" s="33"/>
      <c r="AW39" s="33"/>
      <c r="AX39" s="33"/>
      <c r="AY39" s="33"/>
      <c r="AZ39" s="33"/>
      <c r="BA39" s="33"/>
      <c r="BB39" s="33"/>
      <c r="BC39" s="33"/>
      <c r="BD39" s="33"/>
      <c r="BE39" s="33"/>
      <c r="BF39" s="33">
        <f>7600+1800</f>
        <v>9400</v>
      </c>
      <c r="BG39" s="33"/>
      <c r="BH39" s="33"/>
      <c r="BI39" s="33"/>
      <c r="BJ39" s="33"/>
      <c r="BK39" s="33"/>
      <c r="BL39" s="33"/>
      <c r="BM39" s="33"/>
      <c r="BN39" s="33"/>
      <c r="BO39" s="33"/>
      <c r="BP39" s="33"/>
      <c r="BQ39" s="33"/>
      <c r="BR39" s="33"/>
      <c r="BS39" s="33"/>
      <c r="BT39" s="33"/>
      <c r="BU39" s="33"/>
      <c r="BV39" s="33"/>
      <c r="BW39" s="31">
        <f t="shared" si="2"/>
        <v>9400</v>
      </c>
    </row>
    <row r="40" spans="1:75" ht="74.25" customHeight="1" x14ac:dyDescent="0.8">
      <c r="A40" s="14" t="s">
        <v>44</v>
      </c>
      <c r="B40" s="15" t="s">
        <v>79</v>
      </c>
      <c r="C40" s="32"/>
      <c r="D40" s="32">
        <v>82314500</v>
      </c>
      <c r="E40" s="32">
        <f>59212000-13550000-6529500-5410700-442754.18</f>
        <v>33279045.82</v>
      </c>
      <c r="F40" s="32">
        <f>2271700+683000</f>
        <v>2954700</v>
      </c>
      <c r="G40" s="31">
        <f>7711923-250000</f>
        <v>7461923</v>
      </c>
      <c r="H40" s="31"/>
      <c r="I40" s="31"/>
      <c r="J40" s="31">
        <v>41774</v>
      </c>
      <c r="K40" s="31">
        <f>92500</f>
        <v>92500</v>
      </c>
      <c r="L40" s="31">
        <v>92300</v>
      </c>
      <c r="M40" s="31">
        <v>200</v>
      </c>
      <c r="N40" s="31"/>
      <c r="O40" s="31"/>
      <c r="P40" s="31">
        <f t="shared" si="0"/>
        <v>0</v>
      </c>
      <c r="Q40" s="31"/>
      <c r="R40" s="31"/>
      <c r="S40" s="31"/>
      <c r="T40" s="31"/>
      <c r="U40" s="31"/>
      <c r="V40" s="31"/>
      <c r="W40" s="31"/>
      <c r="X40" s="31">
        <f>53613</f>
        <v>53613</v>
      </c>
      <c r="Y40" s="31">
        <v>403091</v>
      </c>
      <c r="Z40" s="31"/>
      <c r="AA40" s="31"/>
      <c r="AB40" s="31"/>
      <c r="AC40" s="31"/>
      <c r="AD40" s="31"/>
      <c r="AE40" s="31"/>
      <c r="AF40" s="31"/>
      <c r="AG40" s="31"/>
      <c r="AH40" s="31"/>
      <c r="AI40" s="31"/>
      <c r="AJ40" s="31"/>
      <c r="AK40" s="33">
        <f>415000-20000</f>
        <v>395000</v>
      </c>
      <c r="AL40" s="33"/>
      <c r="AM40" s="33">
        <f>80000+120000</f>
        <v>200000</v>
      </c>
      <c r="AN40" s="33">
        <f>400000</f>
        <v>400000</v>
      </c>
      <c r="AO40" s="33">
        <v>1045000</v>
      </c>
      <c r="AP40" s="33"/>
      <c r="AQ40" s="33"/>
      <c r="AR40" s="31">
        <f t="shared" si="1"/>
        <v>128641146.81999999</v>
      </c>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1">
        <f t="shared" si="2"/>
        <v>0</v>
      </c>
    </row>
    <row r="41" spans="1:75" ht="74.25" customHeight="1" x14ac:dyDescent="0.8">
      <c r="A41" s="14" t="s">
        <v>45</v>
      </c>
      <c r="B41" s="15" t="s">
        <v>80</v>
      </c>
      <c r="C41" s="32"/>
      <c r="D41" s="32">
        <v>57347800</v>
      </c>
      <c r="E41" s="32">
        <f>42561300-3420000-5695200+20000-409639.59</f>
        <v>33056460.41</v>
      </c>
      <c r="F41" s="32">
        <f>717300+210500</f>
        <v>927800</v>
      </c>
      <c r="G41" s="31">
        <f>1558885+150000</f>
        <v>1708885</v>
      </c>
      <c r="H41" s="31"/>
      <c r="I41" s="31"/>
      <c r="J41" s="31"/>
      <c r="K41" s="31"/>
      <c r="L41" s="31"/>
      <c r="M41" s="31"/>
      <c r="N41" s="31"/>
      <c r="O41" s="31"/>
      <c r="P41" s="31">
        <f t="shared" si="0"/>
        <v>0</v>
      </c>
      <c r="Q41" s="31"/>
      <c r="R41" s="31"/>
      <c r="S41" s="31"/>
      <c r="T41" s="31"/>
      <c r="U41" s="31"/>
      <c r="V41" s="31"/>
      <c r="W41" s="31"/>
      <c r="X41" s="31">
        <f>107227</f>
        <v>107227</v>
      </c>
      <c r="Y41" s="31">
        <v>507685</v>
      </c>
      <c r="Z41" s="31"/>
      <c r="AA41" s="31"/>
      <c r="AB41" s="31"/>
      <c r="AC41" s="31"/>
      <c r="AD41" s="31"/>
      <c r="AE41" s="31"/>
      <c r="AF41" s="31"/>
      <c r="AG41" s="31"/>
      <c r="AH41" s="31"/>
      <c r="AI41" s="31"/>
      <c r="AJ41" s="31">
        <v>300000</v>
      </c>
      <c r="AK41" s="33">
        <f>2055000+20000</f>
        <v>2075000</v>
      </c>
      <c r="AL41" s="33"/>
      <c r="AM41" s="33">
        <f>135000+60000</f>
        <v>195000</v>
      </c>
      <c r="AN41" s="33"/>
      <c r="AO41" s="33"/>
      <c r="AP41" s="33"/>
      <c r="AQ41" s="33"/>
      <c r="AR41" s="31">
        <f t="shared" si="1"/>
        <v>96225857.409999996</v>
      </c>
      <c r="AS41" s="33"/>
      <c r="AT41" s="33"/>
      <c r="AU41" s="33"/>
      <c r="AV41" s="33"/>
      <c r="AW41" s="33"/>
      <c r="AX41" s="33"/>
      <c r="AY41" s="33"/>
      <c r="AZ41" s="33"/>
      <c r="BA41" s="33"/>
      <c r="BB41" s="33"/>
      <c r="BC41" s="33"/>
      <c r="BD41" s="33"/>
      <c r="BE41" s="33"/>
      <c r="BF41" s="33">
        <f>38000</f>
        <v>38000</v>
      </c>
      <c r="BG41" s="33"/>
      <c r="BH41" s="33"/>
      <c r="BI41" s="33"/>
      <c r="BJ41" s="33"/>
      <c r="BK41" s="33"/>
      <c r="BL41" s="33"/>
      <c r="BM41" s="33"/>
      <c r="BN41" s="33"/>
      <c r="BO41" s="33"/>
      <c r="BP41" s="33"/>
      <c r="BQ41" s="33"/>
      <c r="BR41" s="33"/>
      <c r="BS41" s="33"/>
      <c r="BT41" s="33"/>
      <c r="BU41" s="33"/>
      <c r="BV41" s="33"/>
      <c r="BW41" s="31">
        <f t="shared" si="2"/>
        <v>38000</v>
      </c>
    </row>
    <row r="42" spans="1:75" ht="74.25" customHeight="1" x14ac:dyDescent="0.8">
      <c r="A42" s="14" t="s">
        <v>46</v>
      </c>
      <c r="B42" s="15" t="s">
        <v>81</v>
      </c>
      <c r="C42" s="32"/>
      <c r="D42" s="32">
        <v>65509100</v>
      </c>
      <c r="E42" s="32">
        <f>45608000-9450000-592300+400000-14059.64</f>
        <v>35951640.359999999</v>
      </c>
      <c r="F42" s="32">
        <f>994900-361500</f>
        <v>633400</v>
      </c>
      <c r="G42" s="31">
        <v>1721491</v>
      </c>
      <c r="H42" s="31"/>
      <c r="I42" s="31"/>
      <c r="J42" s="31"/>
      <c r="K42" s="31"/>
      <c r="L42" s="31"/>
      <c r="M42" s="31"/>
      <c r="N42" s="31"/>
      <c r="O42" s="31"/>
      <c r="P42" s="31">
        <f t="shared" si="0"/>
        <v>1110600</v>
      </c>
      <c r="Q42" s="31"/>
      <c r="R42" s="31">
        <v>1110600</v>
      </c>
      <c r="S42" s="31"/>
      <c r="T42" s="31">
        <f>192307-192307</f>
        <v>0</v>
      </c>
      <c r="U42" s="31"/>
      <c r="V42" s="31"/>
      <c r="W42" s="31"/>
      <c r="X42" s="31">
        <f>53613</f>
        <v>53613</v>
      </c>
      <c r="Y42" s="31">
        <v>415809</v>
      </c>
      <c r="Z42" s="31"/>
      <c r="AA42" s="31"/>
      <c r="AB42" s="31"/>
      <c r="AC42" s="31"/>
      <c r="AD42" s="31"/>
      <c r="AE42" s="31"/>
      <c r="AF42" s="31"/>
      <c r="AG42" s="31"/>
      <c r="AH42" s="31"/>
      <c r="AI42" s="31"/>
      <c r="AJ42" s="31">
        <f>500000</f>
        <v>500000</v>
      </c>
      <c r="AK42" s="33">
        <v>980000</v>
      </c>
      <c r="AL42" s="33"/>
      <c r="AM42" s="33">
        <f>98000+100000</f>
        <v>198000</v>
      </c>
      <c r="AN42" s="33"/>
      <c r="AO42" s="33">
        <f>470000+874590</f>
        <v>1344590</v>
      </c>
      <c r="AP42" s="33"/>
      <c r="AQ42" s="33"/>
      <c r="AR42" s="31">
        <f t="shared" si="1"/>
        <v>108418243.36</v>
      </c>
      <c r="AS42" s="33"/>
      <c r="AT42" s="33"/>
      <c r="AU42" s="33"/>
      <c r="AV42" s="33"/>
      <c r="AW42" s="33"/>
      <c r="AX42" s="33"/>
      <c r="AY42" s="33"/>
      <c r="AZ42" s="33"/>
      <c r="BA42" s="33"/>
      <c r="BB42" s="33"/>
      <c r="BC42" s="33"/>
      <c r="BD42" s="33"/>
      <c r="BE42" s="33"/>
      <c r="BF42" s="33">
        <v>17000</v>
      </c>
      <c r="BG42" s="33"/>
      <c r="BH42" s="33"/>
      <c r="BI42" s="33"/>
      <c r="BJ42" s="33"/>
      <c r="BK42" s="33"/>
      <c r="BL42" s="33"/>
      <c r="BM42" s="33"/>
      <c r="BN42" s="33"/>
      <c r="BO42" s="33"/>
      <c r="BP42" s="33"/>
      <c r="BQ42" s="33"/>
      <c r="BR42" s="33"/>
      <c r="BS42" s="33"/>
      <c r="BT42" s="33"/>
      <c r="BU42" s="33"/>
      <c r="BV42" s="33"/>
      <c r="BW42" s="31">
        <f t="shared" si="2"/>
        <v>17000</v>
      </c>
    </row>
    <row r="43" spans="1:75" ht="74.25" customHeight="1" x14ac:dyDescent="0.8">
      <c r="A43" s="14" t="s">
        <v>47</v>
      </c>
      <c r="B43" s="15" t="s">
        <v>82</v>
      </c>
      <c r="C43" s="32"/>
      <c r="D43" s="32">
        <v>40513000</v>
      </c>
      <c r="E43" s="32">
        <f>32370900-600000-6423900-370000-235211</f>
        <v>24741789</v>
      </c>
      <c r="F43" s="32">
        <f>1324400+44000+495000</f>
        <v>1863400</v>
      </c>
      <c r="G43" s="31">
        <v>2015850</v>
      </c>
      <c r="H43" s="31"/>
      <c r="I43" s="31"/>
      <c r="J43" s="31"/>
      <c r="K43" s="31"/>
      <c r="L43" s="31"/>
      <c r="M43" s="31"/>
      <c r="N43" s="31"/>
      <c r="O43" s="31"/>
      <c r="P43" s="31">
        <f t="shared" si="0"/>
        <v>0</v>
      </c>
      <c r="Q43" s="31"/>
      <c r="R43" s="31"/>
      <c r="S43" s="31"/>
      <c r="T43" s="31"/>
      <c r="U43" s="31"/>
      <c r="V43" s="31"/>
      <c r="W43" s="31"/>
      <c r="X43" s="31"/>
      <c r="Y43" s="31">
        <v>256648</v>
      </c>
      <c r="Z43" s="31"/>
      <c r="AA43" s="31"/>
      <c r="AB43" s="31"/>
      <c r="AC43" s="31"/>
      <c r="AD43" s="31"/>
      <c r="AE43" s="31"/>
      <c r="AF43" s="31"/>
      <c r="AG43" s="31"/>
      <c r="AH43" s="31"/>
      <c r="AI43" s="31"/>
      <c r="AJ43" s="31"/>
      <c r="AK43" s="33">
        <f>410000-50000</f>
        <v>360000</v>
      </c>
      <c r="AL43" s="33"/>
      <c r="AM43" s="33">
        <f>130000+95000</f>
        <v>225000</v>
      </c>
      <c r="AN43" s="33">
        <v>600000</v>
      </c>
      <c r="AO43" s="33">
        <v>500000</v>
      </c>
      <c r="AP43" s="33"/>
      <c r="AQ43" s="33"/>
      <c r="AR43" s="31">
        <f t="shared" si="1"/>
        <v>71075687</v>
      </c>
      <c r="AS43" s="33"/>
      <c r="AT43" s="33"/>
      <c r="AU43" s="33"/>
      <c r="AV43" s="33"/>
      <c r="AW43" s="33"/>
      <c r="AX43" s="33"/>
      <c r="AY43" s="33"/>
      <c r="AZ43" s="33"/>
      <c r="BA43" s="33"/>
      <c r="BB43" s="33"/>
      <c r="BC43" s="33"/>
      <c r="BD43" s="33"/>
      <c r="BE43" s="33"/>
      <c r="BF43" s="33">
        <v>21000</v>
      </c>
      <c r="BG43" s="33"/>
      <c r="BH43" s="33"/>
      <c r="BI43" s="33"/>
      <c r="BJ43" s="33"/>
      <c r="BK43" s="33"/>
      <c r="BL43" s="33"/>
      <c r="BM43" s="33"/>
      <c r="BN43" s="33"/>
      <c r="BO43" s="33"/>
      <c r="BP43" s="33"/>
      <c r="BQ43" s="33"/>
      <c r="BR43" s="33"/>
      <c r="BS43" s="33"/>
      <c r="BT43" s="33"/>
      <c r="BU43" s="33"/>
      <c r="BV43" s="33"/>
      <c r="BW43" s="31">
        <f t="shared" si="2"/>
        <v>21000</v>
      </c>
    </row>
    <row r="44" spans="1:75" ht="70.5" customHeight="1" x14ac:dyDescent="0.8">
      <c r="A44" s="14" t="s">
        <v>48</v>
      </c>
      <c r="B44" s="15" t="s">
        <v>83</v>
      </c>
      <c r="C44" s="32"/>
      <c r="D44" s="32">
        <v>52035900</v>
      </c>
      <c r="E44" s="32">
        <f>51583700-11100000+10600+1050000-395653.84</f>
        <v>41148646.159999996</v>
      </c>
      <c r="F44" s="32">
        <f>1272800+278000+312000</f>
        <v>1862800</v>
      </c>
      <c r="G44" s="31">
        <v>4257368</v>
      </c>
      <c r="H44" s="31"/>
      <c r="I44" s="31"/>
      <c r="J44" s="31"/>
      <c r="K44" s="31"/>
      <c r="L44" s="31"/>
      <c r="M44" s="31"/>
      <c r="N44" s="31"/>
      <c r="O44" s="31"/>
      <c r="P44" s="31">
        <f t="shared" si="0"/>
        <v>0</v>
      </c>
      <c r="Q44" s="31"/>
      <c r="R44" s="31"/>
      <c r="S44" s="31"/>
      <c r="T44" s="31">
        <f>384614-384614</f>
        <v>0</v>
      </c>
      <c r="U44" s="31"/>
      <c r="V44" s="31"/>
      <c r="W44" s="31"/>
      <c r="X44" s="31">
        <f>46992-25632</f>
        <v>21360</v>
      </c>
      <c r="Y44" s="31">
        <v>330166</v>
      </c>
      <c r="Z44" s="31"/>
      <c r="AA44" s="31"/>
      <c r="AB44" s="31"/>
      <c r="AC44" s="31"/>
      <c r="AD44" s="31"/>
      <c r="AE44" s="31"/>
      <c r="AF44" s="31"/>
      <c r="AG44" s="31"/>
      <c r="AH44" s="31"/>
      <c r="AI44" s="31"/>
      <c r="AJ44" s="31"/>
      <c r="AK44" s="33">
        <v>341900</v>
      </c>
      <c r="AL44" s="33"/>
      <c r="AM44" s="33">
        <f>50000+90000</f>
        <v>140000</v>
      </c>
      <c r="AN44" s="33"/>
      <c r="AO44" s="33"/>
      <c r="AP44" s="33"/>
      <c r="AQ44" s="33"/>
      <c r="AR44" s="31">
        <f t="shared" si="1"/>
        <v>100138140.16</v>
      </c>
      <c r="AS44" s="33"/>
      <c r="AT44" s="33"/>
      <c r="AU44" s="33"/>
      <c r="AV44" s="33"/>
      <c r="AW44" s="33"/>
      <c r="AX44" s="33"/>
      <c r="AY44" s="33"/>
      <c r="AZ44" s="33"/>
      <c r="BA44" s="33"/>
      <c r="BB44" s="33"/>
      <c r="BC44" s="33"/>
      <c r="BD44" s="33"/>
      <c r="BE44" s="33"/>
      <c r="BF44" s="33">
        <f>21000</f>
        <v>21000</v>
      </c>
      <c r="BG44" s="33"/>
      <c r="BH44" s="33"/>
      <c r="BI44" s="33"/>
      <c r="BJ44" s="33"/>
      <c r="BK44" s="33"/>
      <c r="BL44" s="33"/>
      <c r="BM44" s="33"/>
      <c r="BN44" s="33"/>
      <c r="BO44" s="33"/>
      <c r="BP44" s="33"/>
      <c r="BQ44" s="33"/>
      <c r="BR44" s="33"/>
      <c r="BS44" s="33"/>
      <c r="BT44" s="33"/>
      <c r="BU44" s="33"/>
      <c r="BV44" s="33"/>
      <c r="BW44" s="31">
        <f t="shared" ref="BW44:BW75" si="6">SUM(AT44:BV44)-BM44</f>
        <v>21000</v>
      </c>
    </row>
    <row r="45" spans="1:75" ht="74.25" customHeight="1" x14ac:dyDescent="0.8">
      <c r="A45" s="14" t="s">
        <v>49</v>
      </c>
      <c r="B45" s="15" t="s">
        <v>84</v>
      </c>
      <c r="C45" s="32"/>
      <c r="D45" s="32">
        <v>40455200</v>
      </c>
      <c r="E45" s="32">
        <f>50240700-13000000+645500+370000-378860.45</f>
        <v>37877339.549999997</v>
      </c>
      <c r="F45" s="32">
        <f>879600-225590</f>
        <v>654010</v>
      </c>
      <c r="G45" s="31">
        <v>1555522</v>
      </c>
      <c r="H45" s="31"/>
      <c r="I45" s="31"/>
      <c r="J45" s="31"/>
      <c r="K45" s="31">
        <v>200</v>
      </c>
      <c r="L45" s="31"/>
      <c r="M45" s="31"/>
      <c r="N45" s="31"/>
      <c r="O45" s="31">
        <v>200</v>
      </c>
      <c r="P45" s="31">
        <f t="shared" si="0"/>
        <v>0</v>
      </c>
      <c r="Q45" s="31"/>
      <c r="R45" s="31"/>
      <c r="S45" s="31"/>
      <c r="T45" s="31">
        <f>384614-384614</f>
        <v>0</v>
      </c>
      <c r="U45" s="31"/>
      <c r="V45" s="31"/>
      <c r="W45" s="31"/>
      <c r="X45" s="31">
        <f>23496+95479</f>
        <v>118975</v>
      </c>
      <c r="Y45" s="31">
        <v>149178</v>
      </c>
      <c r="Z45" s="31"/>
      <c r="AA45" s="31"/>
      <c r="AB45" s="31"/>
      <c r="AC45" s="31"/>
      <c r="AD45" s="31"/>
      <c r="AE45" s="31"/>
      <c r="AF45" s="31"/>
      <c r="AG45" s="31"/>
      <c r="AH45" s="31"/>
      <c r="AI45" s="31"/>
      <c r="AJ45" s="31"/>
      <c r="AK45" s="33">
        <f>410000-20000</f>
        <v>390000</v>
      </c>
      <c r="AL45" s="33"/>
      <c r="AM45" s="33">
        <f>60000+35000+160000</f>
        <v>255000</v>
      </c>
      <c r="AN45" s="33"/>
      <c r="AO45" s="33"/>
      <c r="AP45" s="33"/>
      <c r="AQ45" s="33"/>
      <c r="AR45" s="31">
        <f t="shared" si="1"/>
        <v>81455424.549999997</v>
      </c>
      <c r="AS45" s="33"/>
      <c r="AT45" s="33"/>
      <c r="AU45" s="33"/>
      <c r="AV45" s="33"/>
      <c r="AW45" s="33"/>
      <c r="AX45" s="33"/>
      <c r="AY45" s="33"/>
      <c r="AZ45" s="33"/>
      <c r="BA45" s="33"/>
      <c r="BB45" s="33"/>
      <c r="BC45" s="33"/>
      <c r="BD45" s="33"/>
      <c r="BE45" s="33"/>
      <c r="BF45" s="33">
        <f>10000+11000</f>
        <v>21000</v>
      </c>
      <c r="BG45" s="33"/>
      <c r="BH45" s="33"/>
      <c r="BI45" s="33"/>
      <c r="BJ45" s="33"/>
      <c r="BK45" s="33"/>
      <c r="BL45" s="33"/>
      <c r="BM45" s="33"/>
      <c r="BN45" s="33"/>
      <c r="BO45" s="33"/>
      <c r="BP45" s="33"/>
      <c r="BQ45" s="33"/>
      <c r="BR45" s="33"/>
      <c r="BS45" s="33"/>
      <c r="BT45" s="33"/>
      <c r="BU45" s="33"/>
      <c r="BV45" s="33"/>
      <c r="BW45" s="31">
        <f t="shared" si="6"/>
        <v>21000</v>
      </c>
    </row>
    <row r="46" spans="1:75" ht="74.25" customHeight="1" x14ac:dyDescent="0.8">
      <c r="A46" s="14" t="s">
        <v>50</v>
      </c>
      <c r="B46" s="15" t="s">
        <v>85</v>
      </c>
      <c r="C46" s="32"/>
      <c r="D46" s="32">
        <v>39992400</v>
      </c>
      <c r="E46" s="32">
        <f>44658800-10700000-8886400-290000-187776.5</f>
        <v>24594623.5</v>
      </c>
      <c r="F46" s="32">
        <f>1104700+1000</f>
        <v>1105700</v>
      </c>
      <c r="G46" s="31">
        <v>1598108</v>
      </c>
      <c r="H46" s="31"/>
      <c r="I46" s="31"/>
      <c r="J46" s="31"/>
      <c r="K46" s="31"/>
      <c r="L46" s="31"/>
      <c r="M46" s="31"/>
      <c r="N46" s="31"/>
      <c r="O46" s="31"/>
      <c r="P46" s="31">
        <f t="shared" si="0"/>
        <v>0</v>
      </c>
      <c r="Q46" s="31"/>
      <c r="R46" s="31"/>
      <c r="S46" s="31"/>
      <c r="T46" s="31"/>
      <c r="U46" s="31"/>
      <c r="V46" s="31"/>
      <c r="W46" s="31"/>
      <c r="X46" s="31"/>
      <c r="Y46" s="31">
        <v>343420</v>
      </c>
      <c r="Z46" s="31"/>
      <c r="AA46" s="31"/>
      <c r="AB46" s="31"/>
      <c r="AC46" s="31"/>
      <c r="AD46" s="31"/>
      <c r="AE46" s="31"/>
      <c r="AF46" s="31"/>
      <c r="AG46" s="31"/>
      <c r="AH46" s="31"/>
      <c r="AI46" s="31"/>
      <c r="AJ46" s="31"/>
      <c r="AK46" s="33">
        <f>1105000+13000</f>
        <v>1118000</v>
      </c>
      <c r="AL46" s="33"/>
      <c r="AM46" s="33">
        <f>45000+45000</f>
        <v>90000</v>
      </c>
      <c r="AN46" s="33"/>
      <c r="AO46" s="33"/>
      <c r="AP46" s="33"/>
      <c r="AQ46" s="33"/>
      <c r="AR46" s="31">
        <f t="shared" si="1"/>
        <v>68842251.5</v>
      </c>
      <c r="AS46" s="33"/>
      <c r="AT46" s="33"/>
      <c r="AU46" s="33"/>
      <c r="AV46" s="33">
        <v>132000</v>
      </c>
      <c r="AW46" s="33"/>
      <c r="AX46" s="33"/>
      <c r="AY46" s="33"/>
      <c r="AZ46" s="33"/>
      <c r="BA46" s="33"/>
      <c r="BB46" s="33"/>
      <c r="BC46" s="33"/>
      <c r="BD46" s="33"/>
      <c r="BE46" s="33"/>
      <c r="BF46" s="33">
        <v>27000</v>
      </c>
      <c r="BG46" s="33"/>
      <c r="BH46" s="33"/>
      <c r="BI46" s="33"/>
      <c r="BJ46" s="33"/>
      <c r="BK46" s="33"/>
      <c r="BL46" s="33"/>
      <c r="BM46" s="33"/>
      <c r="BN46" s="33"/>
      <c r="BO46" s="33"/>
      <c r="BP46" s="33"/>
      <c r="BQ46" s="33"/>
      <c r="BR46" s="33"/>
      <c r="BS46" s="33"/>
      <c r="BT46" s="33"/>
      <c r="BU46" s="33"/>
      <c r="BV46" s="33"/>
      <c r="BW46" s="31">
        <f t="shared" si="6"/>
        <v>159000</v>
      </c>
    </row>
    <row r="47" spans="1:75" ht="74.25" customHeight="1" x14ac:dyDescent="0.8">
      <c r="A47" s="14" t="s">
        <v>51</v>
      </c>
      <c r="B47" s="15" t="s">
        <v>86</v>
      </c>
      <c r="C47" s="32"/>
      <c r="D47" s="32">
        <v>19136700</v>
      </c>
      <c r="E47" s="32">
        <f>18305500-4440000-3302900+3760000-198760.78</f>
        <v>14123839.220000001</v>
      </c>
      <c r="F47" s="32">
        <f>1496300-265000</f>
        <v>1231300</v>
      </c>
      <c r="G47" s="31">
        <v>2078357</v>
      </c>
      <c r="H47" s="31"/>
      <c r="I47" s="31"/>
      <c r="J47" s="31"/>
      <c r="K47" s="31"/>
      <c r="L47" s="31"/>
      <c r="M47" s="31"/>
      <c r="N47" s="31"/>
      <c r="O47" s="31"/>
      <c r="P47" s="31">
        <f t="shared" si="0"/>
        <v>7208080</v>
      </c>
      <c r="Q47" s="31"/>
      <c r="R47" s="31"/>
      <c r="S47" s="31">
        <v>708000</v>
      </c>
      <c r="T47" s="31"/>
      <c r="U47" s="31">
        <v>6500080</v>
      </c>
      <c r="V47" s="31"/>
      <c r="W47" s="31"/>
      <c r="X47" s="31"/>
      <c r="Y47" s="31">
        <f>119230</f>
        <v>119230</v>
      </c>
      <c r="Z47" s="31"/>
      <c r="AA47" s="31"/>
      <c r="AB47" s="31"/>
      <c r="AC47" s="31"/>
      <c r="AD47" s="31"/>
      <c r="AE47" s="31"/>
      <c r="AF47" s="31"/>
      <c r="AG47" s="31"/>
      <c r="AH47" s="31"/>
      <c r="AI47" s="31"/>
      <c r="AJ47" s="31"/>
      <c r="AK47" s="33">
        <v>515000</v>
      </c>
      <c r="AL47" s="33"/>
      <c r="AM47" s="33">
        <f>22000+35000+60000</f>
        <v>117000</v>
      </c>
      <c r="AN47" s="33"/>
      <c r="AO47" s="33">
        <f>450000</f>
        <v>450000</v>
      </c>
      <c r="AP47" s="33"/>
      <c r="AQ47" s="33">
        <f>663606+540000</f>
        <v>1203606</v>
      </c>
      <c r="AR47" s="31">
        <f t="shared" si="1"/>
        <v>46183112.219999999</v>
      </c>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1">
        <f t="shared" si="6"/>
        <v>0</v>
      </c>
    </row>
    <row r="48" spans="1:75" ht="74.25" customHeight="1" x14ac:dyDescent="0.8">
      <c r="A48" s="14"/>
      <c r="B48" s="15" t="s">
        <v>56</v>
      </c>
      <c r="C48" s="31">
        <f t="shared" ref="C48:O48" si="7">C47+C46+C45+C44+C43+C42+C41+C40+C39+C38+C37+C36+C35+C34+C33+C32+C31+C30+C29+C28+C27+C26</f>
        <v>0</v>
      </c>
      <c r="D48" s="31">
        <f t="shared" si="7"/>
        <v>1249737800</v>
      </c>
      <c r="E48" s="31">
        <f t="shared" si="7"/>
        <v>739837283.60000014</v>
      </c>
      <c r="F48" s="31">
        <f t="shared" si="7"/>
        <v>36672310</v>
      </c>
      <c r="G48" s="31">
        <f t="shared" si="7"/>
        <v>56248876</v>
      </c>
      <c r="H48" s="31">
        <f>H47+H46+H45+H44+H43+H42+H41+H40+H39+H38+H37+H36+H35+H34+H33+H32+H31+H30+H29+H28+H27+H26</f>
        <v>0</v>
      </c>
      <c r="I48" s="31">
        <f>I47+I46+I45+I44+I43+I42+I41+I40+I39+I38+I37+I36+I35+I34+I33+I32+I31+I30+I29+I28+I27+I26</f>
        <v>0</v>
      </c>
      <c r="J48" s="31">
        <f t="shared" si="7"/>
        <v>510891.69</v>
      </c>
      <c r="K48" s="31">
        <f>K47+K46+K45+K44+K43+K42+K41+K40+K39+K38+K37+K36+K35+K34+K33+K32+K31+K30+K29+K28+K27+K26</f>
        <v>204300</v>
      </c>
      <c r="L48" s="31">
        <f>L47+L46+L45+L44+L43+L42+L41+L40+L39+L38+L37+L36+L35+L34+L33+L32+L31+L30+L29+L28+L27+L26</f>
        <v>202200</v>
      </c>
      <c r="M48" s="31">
        <f>M47+M46+M45+M44+M43+M42+M41+M40+M39+M38+M37+M36+M35+M34+M33+M32+M31+M30+M29+M28+M27+M26</f>
        <v>1900</v>
      </c>
      <c r="N48" s="31">
        <f t="shared" si="7"/>
        <v>0</v>
      </c>
      <c r="O48" s="31">
        <f t="shared" si="7"/>
        <v>200</v>
      </c>
      <c r="P48" s="31">
        <f t="shared" si="0"/>
        <v>34339378</v>
      </c>
      <c r="Q48" s="31">
        <f t="shared" ref="Q48:AA48" si="8">Q47+Q46+Q45+Q44+Q43+Q42+Q41+Q40+Q39+Q38+Q37+Q36+Q35+Q34+Q33+Q32+Q31+Q30+Q29+Q28+Q27+Q26</f>
        <v>0</v>
      </c>
      <c r="R48" s="31">
        <f t="shared" si="8"/>
        <v>1110600</v>
      </c>
      <c r="S48" s="31">
        <f t="shared" si="8"/>
        <v>4603458</v>
      </c>
      <c r="T48" s="31">
        <f>T47+T46+T45+T44+T43+T42+T41+T40+T39+T38+T37+T36+T35+T34+T33+T32+T31+T30+T29+T28+T27+T26</f>
        <v>2625000</v>
      </c>
      <c r="U48" s="31">
        <f t="shared" si="8"/>
        <v>26000320</v>
      </c>
      <c r="V48" s="31">
        <f t="shared" si="8"/>
        <v>0</v>
      </c>
      <c r="W48" s="31">
        <f t="shared" si="8"/>
        <v>0</v>
      </c>
      <c r="X48" s="31">
        <f t="shared" si="8"/>
        <v>3742689</v>
      </c>
      <c r="Y48" s="31">
        <f t="shared" si="8"/>
        <v>8405475</v>
      </c>
      <c r="Z48" s="31">
        <f t="shared" si="8"/>
        <v>2191107</v>
      </c>
      <c r="AA48" s="31">
        <f t="shared" si="8"/>
        <v>0</v>
      </c>
      <c r="AB48" s="31">
        <f t="shared" ref="AB48:AI48" si="9">AB47+AB46+AB45+AB44+AB43+AB42+AB41+AB40+AB39+AB38+AB37+AB36+AB35+AB34+AB33+AB32+AB31+AB30+AB29+AB28+AB27+AB26</f>
        <v>0</v>
      </c>
      <c r="AC48" s="31">
        <f t="shared" si="9"/>
        <v>0</v>
      </c>
      <c r="AD48" s="31">
        <f t="shared" si="9"/>
        <v>0</v>
      </c>
      <c r="AE48" s="31">
        <f t="shared" si="9"/>
        <v>0</v>
      </c>
      <c r="AF48" s="31">
        <f t="shared" si="9"/>
        <v>0</v>
      </c>
      <c r="AG48" s="31">
        <f t="shared" si="9"/>
        <v>0</v>
      </c>
      <c r="AH48" s="31">
        <f t="shared" si="9"/>
        <v>0</v>
      </c>
      <c r="AI48" s="31">
        <f t="shared" si="9"/>
        <v>0</v>
      </c>
      <c r="AJ48" s="31">
        <f t="shared" ref="AJ48:AP48" si="10">AJ47+AJ46+AJ45+AJ44+AJ43+AJ42+AJ41+AJ40+AJ39+AJ38+AJ37+AJ36+AJ35+AJ34+AJ33+AJ32+AJ31+AJ30+AJ29+AJ28+AJ27+AJ26</f>
        <v>1500000</v>
      </c>
      <c r="AK48" s="31">
        <f t="shared" si="10"/>
        <v>16772900</v>
      </c>
      <c r="AL48" s="31">
        <f t="shared" si="10"/>
        <v>0</v>
      </c>
      <c r="AM48" s="31">
        <f t="shared" si="10"/>
        <v>4116000</v>
      </c>
      <c r="AN48" s="31">
        <f t="shared" si="10"/>
        <v>3300000</v>
      </c>
      <c r="AO48" s="31">
        <f t="shared" si="10"/>
        <v>7344992.7999999998</v>
      </c>
      <c r="AP48" s="31">
        <f t="shared" si="10"/>
        <v>1900000</v>
      </c>
      <c r="AQ48" s="31">
        <f>AQ47+AQ46+AQ45+AQ44+AQ43+AQ42+AQ41+AQ40+AQ39+AQ38+AQ37+AQ36+AQ35+AQ34+AQ33+AQ32+AQ31+AQ30+AQ29+AQ28+AQ27+AQ26</f>
        <v>4140806</v>
      </c>
      <c r="AR48" s="31">
        <f>AR47+AR46+AR45+AR44+AR43+AR42+AR41+AR40+AR39+AR38+AR37+AR36+AR35+AR34+AR33+AR32+AR31+AR30+AR29+AR28+AR27+AR26</f>
        <v>2170964809.0900002</v>
      </c>
      <c r="AS48" s="31">
        <f>AS47+AS46+AS45+AS44+AS43+AS42+AS41+AS40+AS39+AS38+AS37+AS36+AS35+AS34+AS33+AS32+AS31+AS30+AS29+AS28+AS27+AS26</f>
        <v>0</v>
      </c>
      <c r="AT48" s="31">
        <f t="shared" ref="AT48:BR48" si="11">AT47+AT46+AT45+AT44+AT43+AT42+AT41+AT40+AT39+AT38+AT37+AT36+AT35+AT34+AT33+AT32+AT31+AT30+AT29+AT28+AT27+AT26</f>
        <v>0</v>
      </c>
      <c r="AU48" s="31">
        <f t="shared" si="11"/>
        <v>232676</v>
      </c>
      <c r="AV48" s="31">
        <f t="shared" si="11"/>
        <v>26551000</v>
      </c>
      <c r="AW48" s="31">
        <f t="shared" si="11"/>
        <v>0</v>
      </c>
      <c r="AX48" s="31">
        <f t="shared" si="11"/>
        <v>0</v>
      </c>
      <c r="AY48" s="31">
        <f t="shared" si="11"/>
        <v>0</v>
      </c>
      <c r="AZ48" s="31">
        <f t="shared" si="11"/>
        <v>0</v>
      </c>
      <c r="BA48" s="31">
        <f t="shared" si="11"/>
        <v>0</v>
      </c>
      <c r="BB48" s="31">
        <f t="shared" si="11"/>
        <v>0</v>
      </c>
      <c r="BC48" s="31">
        <f t="shared" si="11"/>
        <v>0</v>
      </c>
      <c r="BD48" s="31">
        <f t="shared" si="11"/>
        <v>0</v>
      </c>
      <c r="BE48" s="31">
        <f t="shared" si="11"/>
        <v>0</v>
      </c>
      <c r="BF48" s="31">
        <f>BF47+BF46+BF45+BF44+BF43+BF42+BF41+BF40+BF39+BF38+BF37+BF36+BF35+BF34+BF33+BF32+BF31+BF30+BF29+BF28+BF27+BF26</f>
        <v>484400</v>
      </c>
      <c r="BG48" s="31">
        <f t="shared" si="11"/>
        <v>0</v>
      </c>
      <c r="BH48" s="31">
        <f t="shared" si="11"/>
        <v>0</v>
      </c>
      <c r="BI48" s="31">
        <f t="shared" si="11"/>
        <v>0</v>
      </c>
      <c r="BJ48" s="31">
        <f t="shared" si="11"/>
        <v>0</v>
      </c>
      <c r="BK48" s="31">
        <f>BK47+BK46+BK45+BK44+BK43+BK42+BK41+BK40+BK39+BK38+BK37+BK36+BK35+BK34+BK33+BK32+BK31+BK30+BK29+BK28+BK27+BK26</f>
        <v>0</v>
      </c>
      <c r="BL48" s="31"/>
      <c r="BM48" s="31"/>
      <c r="BN48" s="31">
        <f>BN47+BN46+BN45+BN44+BN43+BN42+BN41+BN40+BN39+BN38+BN37+BN36+BN35+BN34+BN33+BN32+BN31+BN30+BN29+BN28+BN27+BN26</f>
        <v>0</v>
      </c>
      <c r="BO48" s="31">
        <f>BO47+BO46+BO45+BO44+BO43+BO42+BO41+BO40+BO39+BO38+BO37+BO36+BO35+BO34+BO33+BO32+BO31+BO30+BO29+BO28+BO27+BO26</f>
        <v>50000</v>
      </c>
      <c r="BP48" s="31">
        <f t="shared" si="11"/>
        <v>0</v>
      </c>
      <c r="BQ48" s="31">
        <f t="shared" si="11"/>
        <v>0</v>
      </c>
      <c r="BR48" s="31">
        <f t="shared" si="11"/>
        <v>0</v>
      </c>
      <c r="BS48" s="31">
        <f>BS47+BS46+BS45+BS44+BS43+BS42+BS41+BS40+BS39+BS38+BS37+BS36+BS35+BS34+BS33+BS32+BS31+BS30+BS29+BS28+BS27+BS26</f>
        <v>0</v>
      </c>
      <c r="BT48" s="31"/>
      <c r="BU48" s="31">
        <f>BU47+BU46+BU45+BU44+BU43+BU42+BU41+BU40+BU39+BU38+BU37+BU36+BU35+BU34+BU33+BU32+BU31+BU30+BU29+BU28+BU27+BU26</f>
        <v>0</v>
      </c>
      <c r="BV48" s="31">
        <f>BV47+BV46+BV45+BV44+BV43+BV42+BV41+BV40+BV39+BV38+BV37+BV36+BV35+BV34+BV33+BV32+BV31+BV30+BV29+BV28+BV27+BV26</f>
        <v>4000000</v>
      </c>
      <c r="BW48" s="31">
        <f t="shared" si="6"/>
        <v>31318076</v>
      </c>
    </row>
    <row r="49" spans="1:75" ht="78" customHeight="1" x14ac:dyDescent="0.8">
      <c r="A49" s="14"/>
      <c r="B49" s="15" t="s">
        <v>93</v>
      </c>
      <c r="C49" s="31"/>
      <c r="D49" s="31"/>
      <c r="E49" s="31"/>
      <c r="F49" s="31"/>
      <c r="G49" s="31"/>
      <c r="H49" s="31"/>
      <c r="I49" s="31"/>
      <c r="J49" s="31"/>
      <c r="K49" s="31"/>
      <c r="L49" s="31"/>
      <c r="M49" s="31"/>
      <c r="N49" s="31"/>
      <c r="O49" s="31"/>
      <c r="P49" s="31">
        <f t="shared" si="0"/>
        <v>0</v>
      </c>
      <c r="Q49" s="31"/>
      <c r="R49" s="31"/>
      <c r="S49" s="31"/>
      <c r="T49" s="31"/>
      <c r="U49" s="31"/>
      <c r="V49" s="31"/>
      <c r="W49" s="31"/>
      <c r="X49" s="31"/>
      <c r="Y49" s="31"/>
      <c r="Z49" s="31"/>
      <c r="AA49" s="31"/>
      <c r="AB49" s="31"/>
      <c r="AC49" s="31"/>
      <c r="AD49" s="31"/>
      <c r="AE49" s="31"/>
      <c r="AF49" s="31"/>
      <c r="AG49" s="31"/>
      <c r="AH49" s="31"/>
      <c r="AI49" s="31"/>
      <c r="AJ49" s="37"/>
      <c r="AK49" s="31"/>
      <c r="AL49" s="31"/>
      <c r="AM49" s="31"/>
      <c r="AN49" s="31"/>
      <c r="AO49" s="31"/>
      <c r="AP49" s="31"/>
      <c r="AQ49" s="31"/>
      <c r="AR49" s="31">
        <f t="shared" si="1"/>
        <v>0</v>
      </c>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f t="shared" si="6"/>
        <v>0</v>
      </c>
    </row>
    <row r="50" spans="1:75" ht="74.25" customHeight="1" x14ac:dyDescent="0.8">
      <c r="A50" s="14" t="s">
        <v>104</v>
      </c>
      <c r="B50" s="15" t="s">
        <v>95</v>
      </c>
      <c r="C50" s="31"/>
      <c r="D50" s="31"/>
      <c r="E50" s="31"/>
      <c r="F50" s="31"/>
      <c r="G50" s="31"/>
      <c r="H50" s="31"/>
      <c r="I50" s="31"/>
      <c r="J50" s="31"/>
      <c r="K50" s="31"/>
      <c r="L50" s="31"/>
      <c r="M50" s="31"/>
      <c r="N50" s="31"/>
      <c r="O50" s="31"/>
      <c r="P50" s="31">
        <f t="shared" si="0"/>
        <v>3150461</v>
      </c>
      <c r="Q50" s="31"/>
      <c r="R50" s="31"/>
      <c r="S50" s="31"/>
      <c r="T50" s="31">
        <f>384614+15386-25000</f>
        <v>375000</v>
      </c>
      <c r="U50" s="31"/>
      <c r="V50" s="31"/>
      <c r="W50" s="31">
        <v>2775461</v>
      </c>
      <c r="X50" s="31">
        <f>70488+232823</f>
        <v>303311</v>
      </c>
      <c r="Y50" s="31">
        <v>494487</v>
      </c>
      <c r="Z50" s="31"/>
      <c r="AA50" s="31"/>
      <c r="AB50" s="31"/>
      <c r="AC50" s="31"/>
      <c r="AD50" s="31"/>
      <c r="AE50" s="31"/>
      <c r="AF50" s="31"/>
      <c r="AG50" s="31"/>
      <c r="AH50" s="31"/>
      <c r="AI50" s="31"/>
      <c r="AJ50" s="37"/>
      <c r="AK50" s="31">
        <f>110000+20000</f>
        <v>130000</v>
      </c>
      <c r="AL50" s="31"/>
      <c r="AM50" s="31"/>
      <c r="AN50" s="31"/>
      <c r="AO50" s="31"/>
      <c r="AP50" s="31">
        <v>600000</v>
      </c>
      <c r="AQ50" s="31"/>
      <c r="AR50" s="31">
        <f t="shared" si="1"/>
        <v>4678259</v>
      </c>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f t="shared" si="6"/>
        <v>0</v>
      </c>
    </row>
    <row r="51" spans="1:75" ht="74.25" customHeight="1" x14ac:dyDescent="0.8">
      <c r="A51" s="14" t="s">
        <v>52</v>
      </c>
      <c r="B51" s="15" t="s">
        <v>88</v>
      </c>
      <c r="C51" s="32"/>
      <c r="D51" s="32"/>
      <c r="E51" s="32"/>
      <c r="F51" s="32"/>
      <c r="G51" s="31"/>
      <c r="H51" s="31"/>
      <c r="I51" s="31"/>
      <c r="J51" s="31"/>
      <c r="K51" s="31"/>
      <c r="L51" s="31"/>
      <c r="M51" s="31"/>
      <c r="N51" s="31"/>
      <c r="O51" s="31"/>
      <c r="P51" s="31">
        <f t="shared" si="0"/>
        <v>558150</v>
      </c>
      <c r="Q51" s="31"/>
      <c r="R51" s="31"/>
      <c r="S51" s="31"/>
      <c r="T51" s="31"/>
      <c r="U51" s="31"/>
      <c r="V51" s="31"/>
      <c r="W51" s="31">
        <v>558150</v>
      </c>
      <c r="X51" s="31"/>
      <c r="Y51" s="31"/>
      <c r="Z51" s="31"/>
      <c r="AA51" s="31"/>
      <c r="AB51" s="31"/>
      <c r="AC51" s="31"/>
      <c r="AD51" s="31"/>
      <c r="AE51" s="31"/>
      <c r="AF51" s="31"/>
      <c r="AG51" s="31"/>
      <c r="AH51" s="31"/>
      <c r="AI51" s="31"/>
      <c r="AJ51" s="31"/>
      <c r="AK51" s="31"/>
      <c r="AL51" s="31"/>
      <c r="AM51" s="31"/>
      <c r="AN51" s="31"/>
      <c r="AO51" s="31"/>
      <c r="AP51" s="31"/>
      <c r="AQ51" s="31"/>
      <c r="AR51" s="31">
        <f t="shared" si="1"/>
        <v>558150</v>
      </c>
      <c r="AS51" s="31"/>
      <c r="AT51" s="31"/>
      <c r="AU51" s="31"/>
      <c r="AV51" s="31"/>
      <c r="AW51" s="31"/>
      <c r="AX51" s="31"/>
      <c r="AY51" s="31"/>
      <c r="AZ51" s="31"/>
      <c r="BA51" s="31"/>
      <c r="BB51" s="31"/>
      <c r="BC51" s="31"/>
      <c r="BD51" s="31"/>
      <c r="BE51" s="31"/>
      <c r="BF51" s="31">
        <f>7000</f>
        <v>7000</v>
      </c>
      <c r="BG51" s="31"/>
      <c r="BH51" s="31"/>
      <c r="BI51" s="31"/>
      <c r="BJ51" s="31"/>
      <c r="BK51" s="31"/>
      <c r="BL51" s="31"/>
      <c r="BM51" s="31"/>
      <c r="BN51" s="31"/>
      <c r="BO51" s="31"/>
      <c r="BP51" s="31"/>
      <c r="BQ51" s="31"/>
      <c r="BR51" s="31"/>
      <c r="BS51" s="31"/>
      <c r="BT51" s="31"/>
      <c r="BU51" s="31"/>
      <c r="BV51" s="31"/>
      <c r="BW51" s="31">
        <f t="shared" si="6"/>
        <v>7000</v>
      </c>
    </row>
    <row r="52" spans="1:75" ht="74.25" customHeight="1" x14ac:dyDescent="0.8">
      <c r="A52" s="14" t="s">
        <v>105</v>
      </c>
      <c r="B52" s="15" t="s">
        <v>96</v>
      </c>
      <c r="C52" s="31"/>
      <c r="D52" s="31"/>
      <c r="E52" s="31"/>
      <c r="F52" s="31"/>
      <c r="G52" s="31"/>
      <c r="H52" s="31"/>
      <c r="I52" s="31"/>
      <c r="J52" s="31"/>
      <c r="K52" s="31"/>
      <c r="L52" s="31"/>
      <c r="M52" s="31"/>
      <c r="N52" s="31"/>
      <c r="O52" s="31"/>
      <c r="P52" s="31">
        <f t="shared" si="0"/>
        <v>1116651</v>
      </c>
      <c r="Q52" s="31"/>
      <c r="R52" s="31"/>
      <c r="S52" s="31"/>
      <c r="T52" s="31">
        <f>192307+207693-25000</f>
        <v>375000</v>
      </c>
      <c r="U52" s="31"/>
      <c r="V52" s="31"/>
      <c r="W52" s="31">
        <v>741651</v>
      </c>
      <c r="X52" s="31">
        <f>23496+202706</f>
        <v>226202</v>
      </c>
      <c r="Y52" s="31"/>
      <c r="Z52" s="31"/>
      <c r="AA52" s="31"/>
      <c r="AB52" s="31"/>
      <c r="AC52" s="31"/>
      <c r="AD52" s="31"/>
      <c r="AE52" s="31"/>
      <c r="AF52" s="31"/>
      <c r="AG52" s="31"/>
      <c r="AH52" s="31"/>
      <c r="AI52" s="31"/>
      <c r="AJ52" s="37"/>
      <c r="AK52" s="31"/>
      <c r="AL52" s="31"/>
      <c r="AM52" s="31"/>
      <c r="AN52" s="31"/>
      <c r="AO52" s="31"/>
      <c r="AP52" s="31"/>
      <c r="AQ52" s="31"/>
      <c r="AR52" s="31">
        <f t="shared" si="1"/>
        <v>1342853</v>
      </c>
      <c r="AS52" s="31"/>
      <c r="AT52" s="31"/>
      <c r="AU52" s="31"/>
      <c r="AV52" s="31"/>
      <c r="AW52" s="31"/>
      <c r="AX52" s="31"/>
      <c r="AY52" s="31"/>
      <c r="AZ52" s="31"/>
      <c r="BA52" s="31"/>
      <c r="BB52" s="31"/>
      <c r="BC52" s="31"/>
      <c r="BD52" s="31"/>
      <c r="BE52" s="31"/>
      <c r="BF52" s="31">
        <f>8000</f>
        <v>8000</v>
      </c>
      <c r="BG52" s="31"/>
      <c r="BH52" s="31"/>
      <c r="BI52" s="31"/>
      <c r="BJ52" s="31"/>
      <c r="BK52" s="31"/>
      <c r="BL52" s="31"/>
      <c r="BM52" s="31"/>
      <c r="BN52" s="31"/>
      <c r="BO52" s="31"/>
      <c r="BP52" s="31"/>
      <c r="BQ52" s="31"/>
      <c r="BR52" s="31"/>
      <c r="BS52" s="31"/>
      <c r="BT52" s="31"/>
      <c r="BU52" s="31"/>
      <c r="BV52" s="31"/>
      <c r="BW52" s="31">
        <f t="shared" si="6"/>
        <v>8000</v>
      </c>
    </row>
    <row r="53" spans="1:75" ht="74.25" customHeight="1" x14ac:dyDescent="0.8">
      <c r="A53" s="14" t="s">
        <v>106</v>
      </c>
      <c r="B53" s="15" t="s">
        <v>134</v>
      </c>
      <c r="C53" s="31"/>
      <c r="D53" s="31"/>
      <c r="E53" s="31"/>
      <c r="F53" s="31"/>
      <c r="G53" s="31"/>
      <c r="H53" s="31"/>
      <c r="I53" s="31"/>
      <c r="J53" s="31"/>
      <c r="K53" s="31"/>
      <c r="L53" s="31"/>
      <c r="M53" s="31"/>
      <c r="N53" s="31"/>
      <c r="O53" s="31"/>
      <c r="P53" s="31">
        <f t="shared" si="0"/>
        <v>502444</v>
      </c>
      <c r="Q53" s="31"/>
      <c r="R53" s="31"/>
      <c r="S53" s="31"/>
      <c r="T53" s="31"/>
      <c r="U53" s="31"/>
      <c r="V53" s="31"/>
      <c r="W53" s="31">
        <v>502444</v>
      </c>
      <c r="X53" s="31"/>
      <c r="Y53" s="31"/>
      <c r="Z53" s="31"/>
      <c r="AA53" s="31"/>
      <c r="AB53" s="31"/>
      <c r="AC53" s="31"/>
      <c r="AD53" s="31"/>
      <c r="AE53" s="31"/>
      <c r="AF53" s="31"/>
      <c r="AG53" s="31"/>
      <c r="AH53" s="31"/>
      <c r="AI53" s="31"/>
      <c r="AJ53" s="37"/>
      <c r="AK53" s="31">
        <v>120000</v>
      </c>
      <c r="AL53" s="31"/>
      <c r="AM53" s="31"/>
      <c r="AN53" s="31"/>
      <c r="AO53" s="31"/>
      <c r="AP53" s="31"/>
      <c r="AQ53" s="31"/>
      <c r="AR53" s="31">
        <f t="shared" si="1"/>
        <v>622444</v>
      </c>
      <c r="AS53" s="31"/>
      <c r="AT53" s="31"/>
      <c r="AU53" s="31"/>
      <c r="AV53" s="31"/>
      <c r="AW53" s="31"/>
      <c r="AX53" s="31"/>
      <c r="AY53" s="31"/>
      <c r="AZ53" s="31"/>
      <c r="BA53" s="31"/>
      <c r="BB53" s="31"/>
      <c r="BC53" s="31"/>
      <c r="BD53" s="31"/>
      <c r="BE53" s="31"/>
      <c r="BF53" s="31">
        <v>4000</v>
      </c>
      <c r="BG53" s="31"/>
      <c r="BH53" s="31"/>
      <c r="BI53" s="31"/>
      <c r="BJ53" s="31"/>
      <c r="BK53" s="31"/>
      <c r="BL53" s="31"/>
      <c r="BM53" s="31"/>
      <c r="BN53" s="31"/>
      <c r="BO53" s="31"/>
      <c r="BP53" s="31"/>
      <c r="BQ53" s="31"/>
      <c r="BR53" s="31"/>
      <c r="BS53" s="31"/>
      <c r="BT53" s="31"/>
      <c r="BU53" s="31"/>
      <c r="BV53" s="31"/>
      <c r="BW53" s="31">
        <f t="shared" si="6"/>
        <v>4000</v>
      </c>
    </row>
    <row r="54" spans="1:75" ht="74.25" customHeight="1" x14ac:dyDescent="0.8">
      <c r="A54" s="14" t="s">
        <v>107</v>
      </c>
      <c r="B54" s="15" t="s">
        <v>135</v>
      </c>
      <c r="C54" s="31"/>
      <c r="D54" s="31"/>
      <c r="E54" s="31"/>
      <c r="F54" s="31"/>
      <c r="G54" s="31"/>
      <c r="H54" s="31"/>
      <c r="I54" s="31"/>
      <c r="J54" s="31"/>
      <c r="K54" s="31"/>
      <c r="L54" s="31"/>
      <c r="M54" s="31"/>
      <c r="N54" s="31"/>
      <c r="O54" s="31"/>
      <c r="P54" s="31">
        <f t="shared" si="0"/>
        <v>293821</v>
      </c>
      <c r="Q54" s="31"/>
      <c r="R54" s="31"/>
      <c r="S54" s="31"/>
      <c r="T54" s="31"/>
      <c r="U54" s="31"/>
      <c r="V54" s="31"/>
      <c r="W54" s="31">
        <v>293821</v>
      </c>
      <c r="X54" s="31"/>
      <c r="Y54" s="31"/>
      <c r="Z54" s="31"/>
      <c r="AA54" s="31"/>
      <c r="AB54" s="31"/>
      <c r="AC54" s="31"/>
      <c r="AD54" s="31"/>
      <c r="AE54" s="31"/>
      <c r="AF54" s="31"/>
      <c r="AG54" s="31"/>
      <c r="AH54" s="31"/>
      <c r="AI54" s="31"/>
      <c r="AJ54" s="37"/>
      <c r="AK54" s="31">
        <v>50000</v>
      </c>
      <c r="AL54" s="31"/>
      <c r="AM54" s="31"/>
      <c r="AN54" s="31">
        <v>2200000</v>
      </c>
      <c r="AO54" s="31"/>
      <c r="AP54" s="31"/>
      <c r="AQ54" s="31"/>
      <c r="AR54" s="31">
        <f t="shared" si="1"/>
        <v>2543821</v>
      </c>
      <c r="AS54" s="31"/>
      <c r="AT54" s="31"/>
      <c r="AU54" s="31"/>
      <c r="AV54" s="31"/>
      <c r="AW54" s="31"/>
      <c r="AX54" s="31"/>
      <c r="AY54" s="31"/>
      <c r="AZ54" s="31"/>
      <c r="BA54" s="31"/>
      <c r="BB54" s="31"/>
      <c r="BC54" s="31"/>
      <c r="BD54" s="31"/>
      <c r="BE54" s="31"/>
      <c r="BF54" s="31">
        <f>1000</f>
        <v>1000</v>
      </c>
      <c r="BG54" s="31"/>
      <c r="BH54" s="31"/>
      <c r="BI54" s="31"/>
      <c r="BJ54" s="31"/>
      <c r="BK54" s="31"/>
      <c r="BL54" s="31"/>
      <c r="BM54" s="31"/>
      <c r="BN54" s="31"/>
      <c r="BO54" s="31"/>
      <c r="BP54" s="31"/>
      <c r="BQ54" s="31"/>
      <c r="BR54" s="31"/>
      <c r="BS54" s="31"/>
      <c r="BT54" s="31"/>
      <c r="BU54" s="31"/>
      <c r="BV54" s="31"/>
      <c r="BW54" s="31">
        <f t="shared" si="6"/>
        <v>1000</v>
      </c>
    </row>
    <row r="55" spans="1:75" ht="74.25" customHeight="1" x14ac:dyDescent="0.8">
      <c r="A55" s="14" t="s">
        <v>108</v>
      </c>
      <c r="B55" s="15" t="s">
        <v>97</v>
      </c>
      <c r="C55" s="31"/>
      <c r="D55" s="31"/>
      <c r="E55" s="31"/>
      <c r="F55" s="31"/>
      <c r="G55" s="31"/>
      <c r="H55" s="31"/>
      <c r="I55" s="31"/>
      <c r="J55" s="31"/>
      <c r="K55" s="31"/>
      <c r="L55" s="31"/>
      <c r="M55" s="31"/>
      <c r="N55" s="31"/>
      <c r="O55" s="31"/>
      <c r="P55" s="31">
        <f t="shared" si="0"/>
        <v>1994485</v>
      </c>
      <c r="Q55" s="31"/>
      <c r="R55" s="31"/>
      <c r="S55" s="31"/>
      <c r="T55" s="31"/>
      <c r="U55" s="31"/>
      <c r="V55" s="31"/>
      <c r="W55" s="31">
        <v>1994485</v>
      </c>
      <c r="X55" s="31"/>
      <c r="Y55" s="31">
        <v>148896</v>
      </c>
      <c r="Z55" s="31"/>
      <c r="AA55" s="31"/>
      <c r="AB55" s="31"/>
      <c r="AC55" s="31"/>
      <c r="AD55" s="31"/>
      <c r="AE55" s="31"/>
      <c r="AF55" s="31"/>
      <c r="AG55" s="31"/>
      <c r="AH55" s="31"/>
      <c r="AI55" s="31"/>
      <c r="AJ55" s="37"/>
      <c r="AK55" s="31">
        <v>500000</v>
      </c>
      <c r="AL55" s="31"/>
      <c r="AM55" s="31"/>
      <c r="AN55" s="31"/>
      <c r="AO55" s="31"/>
      <c r="AP55" s="31"/>
      <c r="AQ55" s="31"/>
      <c r="AR55" s="31">
        <f t="shared" si="1"/>
        <v>2643381</v>
      </c>
      <c r="AS55" s="31"/>
      <c r="AT55" s="31"/>
      <c r="AU55" s="31"/>
      <c r="AV55" s="31"/>
      <c r="AW55" s="31"/>
      <c r="AX55" s="31"/>
      <c r="AY55" s="31"/>
      <c r="AZ55" s="31"/>
      <c r="BA55" s="31"/>
      <c r="BB55" s="31"/>
      <c r="BC55" s="31"/>
      <c r="BD55" s="31"/>
      <c r="BE55" s="31"/>
      <c r="BF55" s="31">
        <f>21000</f>
        <v>21000</v>
      </c>
      <c r="BG55" s="31"/>
      <c r="BH55" s="31"/>
      <c r="BI55" s="31"/>
      <c r="BJ55" s="31"/>
      <c r="BK55" s="31"/>
      <c r="BL55" s="31"/>
      <c r="BM55" s="31"/>
      <c r="BN55" s="31"/>
      <c r="BO55" s="31"/>
      <c r="BP55" s="31"/>
      <c r="BQ55" s="31"/>
      <c r="BR55" s="31"/>
      <c r="BS55" s="31"/>
      <c r="BT55" s="31"/>
      <c r="BU55" s="31"/>
      <c r="BV55" s="31"/>
      <c r="BW55" s="31">
        <f t="shared" si="6"/>
        <v>21000</v>
      </c>
    </row>
    <row r="56" spans="1:75" ht="74.25" customHeight="1" x14ac:dyDescent="0.8">
      <c r="A56" s="14" t="s">
        <v>109</v>
      </c>
      <c r="B56" s="15" t="s">
        <v>98</v>
      </c>
      <c r="C56" s="31"/>
      <c r="D56" s="31"/>
      <c r="E56" s="31"/>
      <c r="F56" s="31"/>
      <c r="G56" s="31"/>
      <c r="H56" s="31"/>
      <c r="I56" s="31"/>
      <c r="J56" s="31"/>
      <c r="K56" s="31"/>
      <c r="L56" s="31"/>
      <c r="M56" s="31"/>
      <c r="N56" s="31"/>
      <c r="O56" s="31"/>
      <c r="P56" s="31">
        <f t="shared" si="0"/>
        <v>624778</v>
      </c>
      <c r="Q56" s="31"/>
      <c r="R56" s="31"/>
      <c r="S56" s="31"/>
      <c r="T56" s="31"/>
      <c r="U56" s="31"/>
      <c r="V56" s="31"/>
      <c r="W56" s="31">
        <v>624778</v>
      </c>
      <c r="X56" s="31"/>
      <c r="Y56" s="31">
        <v>24957</v>
      </c>
      <c r="Z56" s="31"/>
      <c r="AA56" s="31"/>
      <c r="AB56" s="31"/>
      <c r="AC56" s="31"/>
      <c r="AD56" s="31"/>
      <c r="AE56" s="31"/>
      <c r="AF56" s="31"/>
      <c r="AG56" s="31"/>
      <c r="AH56" s="31"/>
      <c r="AI56" s="31"/>
      <c r="AJ56" s="37"/>
      <c r="AK56" s="31">
        <v>500000</v>
      </c>
      <c r="AL56" s="31"/>
      <c r="AM56" s="31"/>
      <c r="AN56" s="31"/>
      <c r="AO56" s="31"/>
      <c r="AP56" s="31"/>
      <c r="AQ56" s="31"/>
      <c r="AR56" s="31">
        <f t="shared" si="1"/>
        <v>1149735</v>
      </c>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f t="shared" si="6"/>
        <v>0</v>
      </c>
    </row>
    <row r="57" spans="1:75" ht="74.25" customHeight="1" x14ac:dyDescent="0.8">
      <c r="A57" s="14" t="s">
        <v>110</v>
      </c>
      <c r="B57" s="15" t="s">
        <v>99</v>
      </c>
      <c r="C57" s="31"/>
      <c r="D57" s="31"/>
      <c r="E57" s="31"/>
      <c r="F57" s="31"/>
      <c r="G57" s="31"/>
      <c r="H57" s="31"/>
      <c r="I57" s="31"/>
      <c r="J57" s="31"/>
      <c r="K57" s="31"/>
      <c r="L57" s="31"/>
      <c r="M57" s="31"/>
      <c r="N57" s="31"/>
      <c r="O57" s="31"/>
      <c r="P57" s="31">
        <f t="shared" si="0"/>
        <v>220639</v>
      </c>
      <c r="Q57" s="31"/>
      <c r="R57" s="31"/>
      <c r="S57" s="31"/>
      <c r="T57" s="31"/>
      <c r="U57" s="31"/>
      <c r="V57" s="31"/>
      <c r="W57" s="31">
        <v>220639</v>
      </c>
      <c r="X57" s="31"/>
      <c r="Y57" s="31"/>
      <c r="Z57" s="31"/>
      <c r="AA57" s="31"/>
      <c r="AB57" s="31"/>
      <c r="AC57" s="31"/>
      <c r="AD57" s="31"/>
      <c r="AE57" s="31"/>
      <c r="AF57" s="31"/>
      <c r="AG57" s="31"/>
      <c r="AH57" s="31"/>
      <c r="AI57" s="31"/>
      <c r="AJ57" s="37"/>
      <c r="AK57" s="31">
        <v>10000</v>
      </c>
      <c r="AL57" s="31"/>
      <c r="AM57" s="31"/>
      <c r="AN57" s="31"/>
      <c r="AO57" s="31">
        <v>400000</v>
      </c>
      <c r="AP57" s="31"/>
      <c r="AQ57" s="31"/>
      <c r="AR57" s="31">
        <f t="shared" si="1"/>
        <v>630639</v>
      </c>
      <c r="AS57" s="31"/>
      <c r="AT57" s="31"/>
      <c r="AU57" s="31"/>
      <c r="AV57" s="31"/>
      <c r="AW57" s="31"/>
      <c r="AX57" s="31"/>
      <c r="AY57" s="31"/>
      <c r="AZ57" s="31"/>
      <c r="BA57" s="31"/>
      <c r="BB57" s="31"/>
      <c r="BC57" s="31"/>
      <c r="BD57" s="31"/>
      <c r="BE57" s="31"/>
      <c r="BF57" s="31">
        <f>2000</f>
        <v>2000</v>
      </c>
      <c r="BG57" s="31"/>
      <c r="BH57" s="31"/>
      <c r="BI57" s="31"/>
      <c r="BJ57" s="31"/>
      <c r="BK57" s="31"/>
      <c r="BL57" s="31"/>
      <c r="BM57" s="31"/>
      <c r="BN57" s="31"/>
      <c r="BO57" s="31"/>
      <c r="BP57" s="31"/>
      <c r="BQ57" s="31"/>
      <c r="BR57" s="31"/>
      <c r="BS57" s="31"/>
      <c r="BT57" s="31"/>
      <c r="BU57" s="31"/>
      <c r="BV57" s="31"/>
      <c r="BW57" s="31">
        <f t="shared" si="6"/>
        <v>2000</v>
      </c>
    </row>
    <row r="58" spans="1:75" ht="74.25" customHeight="1" x14ac:dyDescent="0.8">
      <c r="A58" s="14" t="s">
        <v>111</v>
      </c>
      <c r="B58" s="15" t="s">
        <v>100</v>
      </c>
      <c r="C58" s="31"/>
      <c r="D58" s="31"/>
      <c r="E58" s="31"/>
      <c r="F58" s="31"/>
      <c r="G58" s="31"/>
      <c r="H58" s="31"/>
      <c r="I58" s="31"/>
      <c r="J58" s="31"/>
      <c r="K58" s="31"/>
      <c r="L58" s="31"/>
      <c r="M58" s="31"/>
      <c r="N58" s="31"/>
      <c r="O58" s="31"/>
      <c r="P58" s="31">
        <f t="shared" si="0"/>
        <v>334235</v>
      </c>
      <c r="Q58" s="31"/>
      <c r="R58" s="31"/>
      <c r="S58" s="31"/>
      <c r="T58" s="31"/>
      <c r="U58" s="31"/>
      <c r="V58" s="31"/>
      <c r="W58" s="31">
        <v>334235</v>
      </c>
      <c r="X58" s="31"/>
      <c r="Y58" s="31"/>
      <c r="Z58" s="31"/>
      <c r="AA58" s="31"/>
      <c r="AB58" s="31"/>
      <c r="AC58" s="31"/>
      <c r="AD58" s="31"/>
      <c r="AE58" s="31"/>
      <c r="AF58" s="31"/>
      <c r="AG58" s="31"/>
      <c r="AH58" s="31"/>
      <c r="AI58" s="31"/>
      <c r="AJ58" s="37"/>
      <c r="AK58" s="31">
        <v>10000</v>
      </c>
      <c r="AL58" s="31"/>
      <c r="AM58" s="31"/>
      <c r="AN58" s="31"/>
      <c r="AO58" s="31"/>
      <c r="AP58" s="31"/>
      <c r="AQ58" s="31"/>
      <c r="AR58" s="31">
        <f t="shared" si="1"/>
        <v>344235</v>
      </c>
      <c r="AS58" s="31"/>
      <c r="AT58" s="31"/>
      <c r="AU58" s="31"/>
      <c r="AV58" s="31"/>
      <c r="AW58" s="31"/>
      <c r="AX58" s="31"/>
      <c r="AY58" s="31"/>
      <c r="AZ58" s="31"/>
      <c r="BA58" s="31"/>
      <c r="BB58" s="31"/>
      <c r="BC58" s="31"/>
      <c r="BD58" s="31"/>
      <c r="BE58" s="31"/>
      <c r="BF58" s="31">
        <f>4000</f>
        <v>4000</v>
      </c>
      <c r="BG58" s="31"/>
      <c r="BH58" s="31"/>
      <c r="BI58" s="31"/>
      <c r="BJ58" s="31"/>
      <c r="BK58" s="31"/>
      <c r="BL58" s="31"/>
      <c r="BM58" s="31"/>
      <c r="BN58" s="31"/>
      <c r="BO58" s="31"/>
      <c r="BP58" s="31"/>
      <c r="BQ58" s="31"/>
      <c r="BR58" s="31"/>
      <c r="BS58" s="31"/>
      <c r="BT58" s="31"/>
      <c r="BU58" s="31"/>
      <c r="BV58" s="31"/>
      <c r="BW58" s="31">
        <f t="shared" si="6"/>
        <v>4000</v>
      </c>
    </row>
    <row r="59" spans="1:75" ht="74.25" customHeight="1" x14ac:dyDescent="0.8">
      <c r="A59" s="14" t="s">
        <v>112</v>
      </c>
      <c r="B59" s="15" t="s">
        <v>101</v>
      </c>
      <c r="C59" s="31"/>
      <c r="D59" s="31"/>
      <c r="E59" s="31"/>
      <c r="F59" s="31"/>
      <c r="G59" s="31"/>
      <c r="H59" s="31"/>
      <c r="I59" s="31"/>
      <c r="J59" s="31"/>
      <c r="K59" s="31"/>
      <c r="L59" s="31"/>
      <c r="M59" s="31"/>
      <c r="N59" s="31"/>
      <c r="O59" s="31"/>
      <c r="P59" s="31">
        <f t="shared" si="0"/>
        <v>535212</v>
      </c>
      <c r="Q59" s="31"/>
      <c r="R59" s="31"/>
      <c r="S59" s="31"/>
      <c r="T59" s="31"/>
      <c r="U59" s="31"/>
      <c r="V59" s="31"/>
      <c r="W59" s="31">
        <v>535212</v>
      </c>
      <c r="X59" s="31"/>
      <c r="Y59" s="31"/>
      <c r="Z59" s="31"/>
      <c r="AA59" s="31"/>
      <c r="AB59" s="31"/>
      <c r="AC59" s="31"/>
      <c r="AD59" s="31"/>
      <c r="AE59" s="31"/>
      <c r="AF59" s="31"/>
      <c r="AG59" s="31"/>
      <c r="AH59" s="31"/>
      <c r="AI59" s="31"/>
      <c r="AJ59" s="37"/>
      <c r="AK59" s="31">
        <f>40000-25000</f>
        <v>15000</v>
      </c>
      <c r="AL59" s="31"/>
      <c r="AM59" s="31"/>
      <c r="AN59" s="31"/>
      <c r="AO59" s="31"/>
      <c r="AP59" s="31"/>
      <c r="AQ59" s="31"/>
      <c r="AR59" s="31">
        <f t="shared" si="1"/>
        <v>550212</v>
      </c>
      <c r="AS59" s="31"/>
      <c r="AT59" s="31"/>
      <c r="AU59" s="31"/>
      <c r="AV59" s="31"/>
      <c r="AW59" s="31"/>
      <c r="AX59" s="31"/>
      <c r="AY59" s="31"/>
      <c r="AZ59" s="31"/>
      <c r="BA59" s="31"/>
      <c r="BB59" s="31"/>
      <c r="BC59" s="31"/>
      <c r="BD59" s="31"/>
      <c r="BE59" s="31"/>
      <c r="BF59" s="31">
        <f>5000</f>
        <v>5000</v>
      </c>
      <c r="BG59" s="31"/>
      <c r="BH59" s="31"/>
      <c r="BI59" s="31"/>
      <c r="BJ59" s="31"/>
      <c r="BK59" s="31"/>
      <c r="BL59" s="31"/>
      <c r="BM59" s="31"/>
      <c r="BN59" s="31"/>
      <c r="BO59" s="31"/>
      <c r="BP59" s="31"/>
      <c r="BQ59" s="31"/>
      <c r="BR59" s="31"/>
      <c r="BS59" s="31"/>
      <c r="BT59" s="31"/>
      <c r="BU59" s="31"/>
      <c r="BV59" s="31"/>
      <c r="BW59" s="31">
        <f t="shared" si="6"/>
        <v>5000</v>
      </c>
    </row>
    <row r="60" spans="1:75" ht="74.25" customHeight="1" x14ac:dyDescent="0.8">
      <c r="A60" s="14" t="s">
        <v>15</v>
      </c>
      <c r="B60" s="15" t="s">
        <v>87</v>
      </c>
      <c r="C60" s="32"/>
      <c r="D60" s="32"/>
      <c r="E60" s="32"/>
      <c r="F60" s="32"/>
      <c r="G60" s="31"/>
      <c r="H60" s="31"/>
      <c r="I60" s="31"/>
      <c r="J60" s="31"/>
      <c r="K60" s="31"/>
      <c r="L60" s="31"/>
      <c r="M60" s="31"/>
      <c r="N60" s="31"/>
      <c r="O60" s="31"/>
      <c r="P60" s="31">
        <f t="shared" si="0"/>
        <v>805362</v>
      </c>
      <c r="Q60" s="31">
        <v>150000</v>
      </c>
      <c r="R60" s="31"/>
      <c r="S60" s="31"/>
      <c r="T60" s="31">
        <f>192307-192307</f>
        <v>0</v>
      </c>
      <c r="U60" s="31"/>
      <c r="V60" s="31"/>
      <c r="W60" s="31">
        <v>655362</v>
      </c>
      <c r="X60" s="31">
        <f>53613</f>
        <v>53613</v>
      </c>
      <c r="Y60" s="31">
        <v>105344</v>
      </c>
      <c r="Z60" s="31"/>
      <c r="AA60" s="31"/>
      <c r="AB60" s="31"/>
      <c r="AC60" s="31"/>
      <c r="AD60" s="31"/>
      <c r="AE60" s="31"/>
      <c r="AF60" s="31"/>
      <c r="AG60" s="31"/>
      <c r="AH60" s="31"/>
      <c r="AI60" s="31"/>
      <c r="AJ60" s="31"/>
      <c r="AK60" s="31">
        <v>270000</v>
      </c>
      <c r="AL60" s="31"/>
      <c r="AM60" s="31"/>
      <c r="AN60" s="31"/>
      <c r="AO60" s="31"/>
      <c r="AP60" s="31"/>
      <c r="AQ60" s="31">
        <f>1486900</f>
        <v>1486900</v>
      </c>
      <c r="AR60" s="31">
        <f t="shared" si="1"/>
        <v>2721219</v>
      </c>
      <c r="AS60" s="31"/>
      <c r="AT60" s="31"/>
      <c r="AU60" s="31"/>
      <c r="AV60" s="31"/>
      <c r="AW60" s="31"/>
      <c r="AX60" s="31"/>
      <c r="AY60" s="31"/>
      <c r="AZ60" s="31"/>
      <c r="BA60" s="31"/>
      <c r="BB60" s="31"/>
      <c r="BC60" s="31"/>
      <c r="BD60" s="31"/>
      <c r="BE60" s="31"/>
      <c r="BF60" s="31">
        <f>11410</f>
        <v>11410</v>
      </c>
      <c r="BG60" s="31"/>
      <c r="BH60" s="31"/>
      <c r="BI60" s="31"/>
      <c r="BJ60" s="31"/>
      <c r="BK60" s="31"/>
      <c r="BL60" s="31"/>
      <c r="BM60" s="31"/>
      <c r="BN60" s="31"/>
      <c r="BO60" s="31"/>
      <c r="BP60" s="31"/>
      <c r="BQ60" s="31"/>
      <c r="BR60" s="31"/>
      <c r="BS60" s="31"/>
      <c r="BT60" s="31"/>
      <c r="BU60" s="31"/>
      <c r="BV60" s="31"/>
      <c r="BW60" s="31">
        <f t="shared" si="6"/>
        <v>11410</v>
      </c>
    </row>
    <row r="61" spans="1:75" ht="74.25" customHeight="1" x14ac:dyDescent="0.8">
      <c r="A61" s="14" t="s">
        <v>113</v>
      </c>
      <c r="B61" s="15" t="s">
        <v>102</v>
      </c>
      <c r="C61" s="31"/>
      <c r="D61" s="31"/>
      <c r="E61" s="31"/>
      <c r="F61" s="31"/>
      <c r="G61" s="31"/>
      <c r="H61" s="31"/>
      <c r="I61" s="31"/>
      <c r="J61" s="31"/>
      <c r="K61" s="31"/>
      <c r="L61" s="31"/>
      <c r="M61" s="31"/>
      <c r="N61" s="31"/>
      <c r="O61" s="31"/>
      <c r="P61" s="31">
        <f t="shared" si="0"/>
        <v>385571</v>
      </c>
      <c r="Q61" s="31"/>
      <c r="R61" s="31"/>
      <c r="S61" s="31"/>
      <c r="T61" s="31"/>
      <c r="U61" s="31"/>
      <c r="V61" s="31"/>
      <c r="W61" s="31">
        <v>385571</v>
      </c>
      <c r="X61" s="31"/>
      <c r="Y61" s="31"/>
      <c r="Z61" s="31"/>
      <c r="AA61" s="31"/>
      <c r="AB61" s="31"/>
      <c r="AC61" s="31"/>
      <c r="AD61" s="31"/>
      <c r="AE61" s="31"/>
      <c r="AF61" s="31"/>
      <c r="AG61" s="31"/>
      <c r="AH61" s="31"/>
      <c r="AI61" s="31"/>
      <c r="AJ61" s="37"/>
      <c r="AK61" s="31">
        <v>40000</v>
      </c>
      <c r="AL61" s="31"/>
      <c r="AM61" s="31"/>
      <c r="AN61" s="31"/>
      <c r="AO61" s="31"/>
      <c r="AP61" s="31"/>
      <c r="AQ61" s="31"/>
      <c r="AR61" s="31">
        <f t="shared" si="1"/>
        <v>425571</v>
      </c>
      <c r="AS61" s="31"/>
      <c r="AT61" s="31"/>
      <c r="AU61" s="31"/>
      <c r="AV61" s="31"/>
      <c r="AW61" s="31"/>
      <c r="AX61" s="31"/>
      <c r="AY61" s="31"/>
      <c r="AZ61" s="31"/>
      <c r="BA61" s="31"/>
      <c r="BB61" s="31"/>
      <c r="BC61" s="31"/>
      <c r="BD61" s="31"/>
      <c r="BE61" s="31"/>
      <c r="BF61" s="31">
        <f>4000</f>
        <v>4000</v>
      </c>
      <c r="BG61" s="31"/>
      <c r="BH61" s="31"/>
      <c r="BI61" s="31"/>
      <c r="BJ61" s="31"/>
      <c r="BK61" s="31"/>
      <c r="BL61" s="31"/>
      <c r="BM61" s="31"/>
      <c r="BN61" s="31"/>
      <c r="BO61" s="31"/>
      <c r="BP61" s="31"/>
      <c r="BQ61" s="31"/>
      <c r="BR61" s="31"/>
      <c r="BS61" s="31"/>
      <c r="BT61" s="31"/>
      <c r="BU61" s="31"/>
      <c r="BV61" s="31"/>
      <c r="BW61" s="31">
        <f t="shared" si="6"/>
        <v>4000</v>
      </c>
    </row>
    <row r="62" spans="1:75" ht="74.25" customHeight="1" x14ac:dyDescent="0.8">
      <c r="A62" s="14" t="s">
        <v>114</v>
      </c>
      <c r="B62" s="15" t="s">
        <v>103</v>
      </c>
      <c r="C62" s="31"/>
      <c r="D62" s="31"/>
      <c r="E62" s="31"/>
      <c r="F62" s="31"/>
      <c r="G62" s="31"/>
      <c r="H62" s="31"/>
      <c r="I62" s="31"/>
      <c r="J62" s="31"/>
      <c r="K62" s="31"/>
      <c r="L62" s="31"/>
      <c r="M62" s="31"/>
      <c r="N62" s="31"/>
      <c r="O62" s="31"/>
      <c r="P62" s="31">
        <f t="shared" si="0"/>
        <v>8033627</v>
      </c>
      <c r="Q62" s="31"/>
      <c r="R62" s="31"/>
      <c r="S62" s="31"/>
      <c r="T62" s="31">
        <f>192307-192307</f>
        <v>0</v>
      </c>
      <c r="U62" s="31">
        <v>6500080</v>
      </c>
      <c r="V62" s="31"/>
      <c r="W62" s="31">
        <v>1533547</v>
      </c>
      <c r="X62" s="31">
        <f>23496+53613</f>
        <v>77109</v>
      </c>
      <c r="Y62" s="31"/>
      <c r="Z62" s="31"/>
      <c r="AA62" s="31"/>
      <c r="AB62" s="31"/>
      <c r="AC62" s="31"/>
      <c r="AD62" s="31"/>
      <c r="AE62" s="31"/>
      <c r="AF62" s="31"/>
      <c r="AG62" s="31"/>
      <c r="AH62" s="31"/>
      <c r="AI62" s="31"/>
      <c r="AJ62" s="37"/>
      <c r="AK62" s="31"/>
      <c r="AL62" s="31"/>
      <c r="AM62" s="31"/>
      <c r="AN62" s="31"/>
      <c r="AO62" s="31"/>
      <c r="AP62" s="31"/>
      <c r="AQ62" s="31"/>
      <c r="AR62" s="31">
        <f t="shared" si="1"/>
        <v>8110736</v>
      </c>
      <c r="AS62" s="31"/>
      <c r="AT62" s="31"/>
      <c r="AU62" s="31"/>
      <c r="AV62" s="31"/>
      <c r="AW62" s="31"/>
      <c r="AX62" s="31"/>
      <c r="AY62" s="31"/>
      <c r="AZ62" s="31"/>
      <c r="BA62" s="31"/>
      <c r="BB62" s="31"/>
      <c r="BC62" s="31"/>
      <c r="BD62" s="31"/>
      <c r="BE62" s="31"/>
      <c r="BF62" s="31">
        <v>14000</v>
      </c>
      <c r="BG62" s="31"/>
      <c r="BH62" s="31"/>
      <c r="BI62" s="31"/>
      <c r="BJ62" s="31"/>
      <c r="BK62" s="31"/>
      <c r="BL62" s="31"/>
      <c r="BM62" s="31"/>
      <c r="BN62" s="31"/>
      <c r="BO62" s="31"/>
      <c r="BP62" s="31"/>
      <c r="BQ62" s="31"/>
      <c r="BR62" s="31"/>
      <c r="BS62" s="31"/>
      <c r="BT62" s="31"/>
      <c r="BU62" s="31"/>
      <c r="BV62" s="31"/>
      <c r="BW62" s="31">
        <f t="shared" si="6"/>
        <v>14000</v>
      </c>
    </row>
    <row r="63" spans="1:75" ht="74.25" customHeight="1" x14ac:dyDescent="0.8">
      <c r="A63" s="14" t="s">
        <v>16</v>
      </c>
      <c r="B63" s="15" t="s">
        <v>89</v>
      </c>
      <c r="C63" s="32"/>
      <c r="D63" s="32"/>
      <c r="E63" s="32"/>
      <c r="F63" s="32"/>
      <c r="G63" s="31"/>
      <c r="H63" s="31"/>
      <c r="I63" s="31"/>
      <c r="J63" s="31"/>
      <c r="K63" s="31"/>
      <c r="L63" s="31"/>
      <c r="M63" s="31"/>
      <c r="N63" s="31"/>
      <c r="O63" s="31"/>
      <c r="P63" s="31">
        <f t="shared" si="0"/>
        <v>538489</v>
      </c>
      <c r="Q63" s="31"/>
      <c r="R63" s="31"/>
      <c r="S63" s="31"/>
      <c r="T63" s="31"/>
      <c r="U63" s="31"/>
      <c r="V63" s="31"/>
      <c r="W63" s="31">
        <v>538489</v>
      </c>
      <c r="X63" s="31"/>
      <c r="Y63" s="31">
        <v>127548</v>
      </c>
      <c r="Z63" s="31"/>
      <c r="AA63" s="31"/>
      <c r="AB63" s="31"/>
      <c r="AC63" s="31"/>
      <c r="AD63" s="31"/>
      <c r="AE63" s="31"/>
      <c r="AF63" s="31"/>
      <c r="AG63" s="31"/>
      <c r="AH63" s="31"/>
      <c r="AI63" s="31"/>
      <c r="AJ63" s="31"/>
      <c r="AK63" s="31">
        <v>250000</v>
      </c>
      <c r="AL63" s="31"/>
      <c r="AM63" s="31"/>
      <c r="AN63" s="31"/>
      <c r="AO63" s="31"/>
      <c r="AP63" s="31"/>
      <c r="AQ63" s="31">
        <v>1213000</v>
      </c>
      <c r="AR63" s="31">
        <f t="shared" si="1"/>
        <v>2129037</v>
      </c>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f t="shared" si="6"/>
        <v>0</v>
      </c>
    </row>
    <row r="64" spans="1:75" ht="74.25" customHeight="1" x14ac:dyDescent="0.8">
      <c r="A64" s="14" t="s">
        <v>94</v>
      </c>
      <c r="B64" s="15" t="s">
        <v>118</v>
      </c>
      <c r="C64" s="32"/>
      <c r="D64" s="32"/>
      <c r="E64" s="32"/>
      <c r="F64" s="32"/>
      <c r="G64" s="31"/>
      <c r="H64" s="31"/>
      <c r="I64" s="31"/>
      <c r="J64" s="31"/>
      <c r="K64" s="31"/>
      <c r="L64" s="31"/>
      <c r="M64" s="31"/>
      <c r="N64" s="31"/>
      <c r="O64" s="31"/>
      <c r="P64" s="31">
        <f t="shared" si="0"/>
        <v>1619836</v>
      </c>
      <c r="Q64" s="31"/>
      <c r="R64" s="31"/>
      <c r="S64" s="31"/>
      <c r="T64" s="31"/>
      <c r="U64" s="31"/>
      <c r="V64" s="31"/>
      <c r="W64" s="31">
        <v>1619836</v>
      </c>
      <c r="X64" s="31"/>
      <c r="Y64" s="31"/>
      <c r="Z64" s="31"/>
      <c r="AA64" s="31"/>
      <c r="AB64" s="31"/>
      <c r="AC64" s="31"/>
      <c r="AD64" s="31"/>
      <c r="AE64" s="31"/>
      <c r="AF64" s="31"/>
      <c r="AG64" s="31"/>
      <c r="AH64" s="31"/>
      <c r="AI64" s="31"/>
      <c r="AJ64" s="31"/>
      <c r="AK64" s="31"/>
      <c r="AL64" s="31"/>
      <c r="AM64" s="31"/>
      <c r="AN64" s="31"/>
      <c r="AO64" s="31"/>
      <c r="AP64" s="31"/>
      <c r="AQ64" s="31"/>
      <c r="AR64" s="31">
        <f t="shared" si="1"/>
        <v>1619836</v>
      </c>
      <c r="AS64" s="31"/>
      <c r="AT64" s="31"/>
      <c r="AU64" s="31"/>
      <c r="AV64" s="31">
        <f>21000000+313000+12000000</f>
        <v>33313000</v>
      </c>
      <c r="AW64" s="31"/>
      <c r="AX64" s="31"/>
      <c r="AY64" s="31"/>
      <c r="AZ64" s="31"/>
      <c r="BA64" s="31"/>
      <c r="BB64" s="31"/>
      <c r="BC64" s="31"/>
      <c r="BD64" s="31"/>
      <c r="BE64" s="31"/>
      <c r="BF64" s="31">
        <f>14000</f>
        <v>14000</v>
      </c>
      <c r="BG64" s="31"/>
      <c r="BH64" s="31"/>
      <c r="BI64" s="31"/>
      <c r="BJ64" s="31"/>
      <c r="BK64" s="31"/>
      <c r="BL64" s="31"/>
      <c r="BM64" s="31"/>
      <c r="BN64" s="31"/>
      <c r="BO64" s="31"/>
      <c r="BP64" s="31"/>
      <c r="BQ64" s="31"/>
      <c r="BR64" s="31"/>
      <c r="BS64" s="31"/>
      <c r="BT64" s="31"/>
      <c r="BU64" s="31"/>
      <c r="BV64" s="31"/>
      <c r="BW64" s="31">
        <f t="shared" si="6"/>
        <v>33327000</v>
      </c>
    </row>
    <row r="65" spans="1:75" ht="74.25" customHeight="1" x14ac:dyDescent="0.8">
      <c r="A65" s="14" t="s">
        <v>181</v>
      </c>
      <c r="B65" s="15" t="s">
        <v>178</v>
      </c>
      <c r="C65" s="31"/>
      <c r="D65" s="31"/>
      <c r="E65" s="31"/>
      <c r="F65" s="31"/>
      <c r="G65" s="31"/>
      <c r="H65" s="31"/>
      <c r="I65" s="31"/>
      <c r="J65" s="31"/>
      <c r="K65" s="31"/>
      <c r="L65" s="31"/>
      <c r="M65" s="31"/>
      <c r="N65" s="31"/>
      <c r="O65" s="31"/>
      <c r="P65" s="31">
        <f t="shared" si="0"/>
        <v>325416</v>
      </c>
      <c r="Q65" s="31"/>
      <c r="R65" s="31"/>
      <c r="S65" s="31"/>
      <c r="T65" s="31"/>
      <c r="U65" s="31"/>
      <c r="V65" s="31">
        <v>325416</v>
      </c>
      <c r="W65" s="31"/>
      <c r="X65" s="31"/>
      <c r="Y65" s="31"/>
      <c r="Z65" s="31"/>
      <c r="AA65" s="31"/>
      <c r="AB65" s="31"/>
      <c r="AC65" s="31"/>
      <c r="AD65" s="31"/>
      <c r="AE65" s="31"/>
      <c r="AF65" s="31"/>
      <c r="AG65" s="31"/>
      <c r="AH65" s="31"/>
      <c r="AI65" s="31"/>
      <c r="AJ65" s="37"/>
      <c r="AK65" s="31">
        <v>25800</v>
      </c>
      <c r="AL65" s="31"/>
      <c r="AM65" s="31"/>
      <c r="AN65" s="31">
        <v>500000</v>
      </c>
      <c r="AO65" s="31">
        <v>700000</v>
      </c>
      <c r="AP65" s="31"/>
      <c r="AQ65" s="31"/>
      <c r="AR65" s="31">
        <f t="shared" si="1"/>
        <v>1551216</v>
      </c>
      <c r="AS65" s="31"/>
      <c r="AT65" s="31"/>
      <c r="AU65" s="31"/>
      <c r="AV65" s="31"/>
      <c r="AW65" s="31"/>
      <c r="AX65" s="31"/>
      <c r="AY65" s="31"/>
      <c r="AZ65" s="31"/>
      <c r="BA65" s="31"/>
      <c r="BB65" s="31"/>
      <c r="BC65" s="31"/>
      <c r="BD65" s="31"/>
      <c r="BE65" s="31"/>
      <c r="BF65" s="31">
        <f>4000</f>
        <v>4000</v>
      </c>
      <c r="BG65" s="31"/>
      <c r="BH65" s="31"/>
      <c r="BI65" s="31"/>
      <c r="BJ65" s="31"/>
      <c r="BK65" s="31"/>
      <c r="BL65" s="31"/>
      <c r="BM65" s="31"/>
      <c r="BN65" s="31"/>
      <c r="BO65" s="31"/>
      <c r="BP65" s="31"/>
      <c r="BQ65" s="31"/>
      <c r="BR65" s="31"/>
      <c r="BS65" s="31"/>
      <c r="BT65" s="31"/>
      <c r="BU65" s="31"/>
      <c r="BV65" s="31"/>
      <c r="BW65" s="31">
        <f t="shared" si="6"/>
        <v>4000</v>
      </c>
    </row>
    <row r="66" spans="1:75" ht="74.25" customHeight="1" x14ac:dyDescent="0.8">
      <c r="A66" s="14" t="s">
        <v>193</v>
      </c>
      <c r="B66" s="15" t="s">
        <v>194</v>
      </c>
      <c r="C66" s="31"/>
      <c r="D66" s="31"/>
      <c r="E66" s="31"/>
      <c r="F66" s="31"/>
      <c r="G66" s="31"/>
      <c r="H66" s="31"/>
      <c r="I66" s="31"/>
      <c r="J66" s="31"/>
      <c r="K66" s="31"/>
      <c r="L66" s="31"/>
      <c r="M66" s="31"/>
      <c r="N66" s="31"/>
      <c r="O66" s="31"/>
      <c r="P66" s="31">
        <f t="shared" si="0"/>
        <v>428170</v>
      </c>
      <c r="Q66" s="31"/>
      <c r="R66" s="31"/>
      <c r="S66" s="31"/>
      <c r="T66" s="31"/>
      <c r="U66" s="31"/>
      <c r="V66" s="31"/>
      <c r="W66" s="31">
        <v>428170</v>
      </c>
      <c r="X66" s="31"/>
      <c r="Y66" s="31"/>
      <c r="Z66" s="31"/>
      <c r="AA66" s="31"/>
      <c r="AB66" s="31"/>
      <c r="AC66" s="31"/>
      <c r="AD66" s="31"/>
      <c r="AE66" s="31"/>
      <c r="AF66" s="31"/>
      <c r="AG66" s="31"/>
      <c r="AH66" s="31"/>
      <c r="AI66" s="31"/>
      <c r="AJ66" s="37"/>
      <c r="AK66" s="31">
        <v>15000</v>
      </c>
      <c r="AL66" s="31"/>
      <c r="AM66" s="31"/>
      <c r="AN66" s="31"/>
      <c r="AO66" s="31"/>
      <c r="AP66" s="31"/>
      <c r="AQ66" s="31"/>
      <c r="AR66" s="31">
        <f t="shared" si="1"/>
        <v>443170</v>
      </c>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f t="shared" si="6"/>
        <v>0</v>
      </c>
    </row>
    <row r="67" spans="1:75" ht="74.25" customHeight="1" x14ac:dyDescent="0.8">
      <c r="A67" s="14" t="s">
        <v>195</v>
      </c>
      <c r="B67" s="15" t="s">
        <v>196</v>
      </c>
      <c r="C67" s="31"/>
      <c r="D67" s="31"/>
      <c r="E67" s="31"/>
      <c r="F67" s="31"/>
      <c r="G67" s="31"/>
      <c r="H67" s="31"/>
      <c r="I67" s="31">
        <f>1018155</f>
        <v>1018155</v>
      </c>
      <c r="J67" s="31"/>
      <c r="K67" s="31"/>
      <c r="L67" s="31"/>
      <c r="M67" s="31"/>
      <c r="N67" s="31"/>
      <c r="O67" s="31"/>
      <c r="P67" s="31">
        <f t="shared" si="0"/>
        <v>618225</v>
      </c>
      <c r="Q67" s="31"/>
      <c r="R67" s="31"/>
      <c r="S67" s="31"/>
      <c r="T67" s="31"/>
      <c r="U67" s="31"/>
      <c r="V67" s="31"/>
      <c r="W67" s="31">
        <v>618225</v>
      </c>
      <c r="X67" s="31"/>
      <c r="Y67" s="31"/>
      <c r="Z67" s="31"/>
      <c r="AA67" s="31"/>
      <c r="AB67" s="31"/>
      <c r="AC67" s="31"/>
      <c r="AD67" s="31"/>
      <c r="AE67" s="31"/>
      <c r="AF67" s="31"/>
      <c r="AG67" s="31"/>
      <c r="AH67" s="31"/>
      <c r="AI67" s="31"/>
      <c r="AJ67" s="37"/>
      <c r="AK67" s="31"/>
      <c r="AL67" s="31"/>
      <c r="AM67" s="31"/>
      <c r="AN67" s="31"/>
      <c r="AO67" s="31"/>
      <c r="AP67" s="31"/>
      <c r="AQ67" s="31"/>
      <c r="AR67" s="31">
        <f t="shared" si="1"/>
        <v>1636380</v>
      </c>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f t="shared" si="6"/>
        <v>0</v>
      </c>
    </row>
    <row r="68" spans="1:75" ht="74.25" customHeight="1" x14ac:dyDescent="0.8">
      <c r="A68" s="14" t="s">
        <v>182</v>
      </c>
      <c r="B68" s="15" t="s">
        <v>180</v>
      </c>
      <c r="C68" s="32"/>
      <c r="D68" s="32"/>
      <c r="E68" s="32"/>
      <c r="F68" s="32"/>
      <c r="G68" s="31"/>
      <c r="H68" s="31"/>
      <c r="I68" s="31"/>
      <c r="J68" s="31"/>
      <c r="K68" s="31"/>
      <c r="L68" s="31"/>
      <c r="M68" s="31"/>
      <c r="N68" s="31"/>
      <c r="O68" s="31"/>
      <c r="P68" s="31">
        <f t="shared" si="0"/>
        <v>2080033</v>
      </c>
      <c r="Q68" s="31"/>
      <c r="R68" s="31"/>
      <c r="S68" s="31"/>
      <c r="T68" s="31">
        <v>375000</v>
      </c>
      <c r="U68" s="31"/>
      <c r="V68" s="31"/>
      <c r="W68" s="31">
        <v>1705033</v>
      </c>
      <c r="X68" s="31">
        <v>109363</v>
      </c>
      <c r="Y68" s="31"/>
      <c r="Z68" s="31"/>
      <c r="AA68" s="31"/>
      <c r="AB68" s="31"/>
      <c r="AC68" s="31"/>
      <c r="AD68" s="31"/>
      <c r="AE68" s="31"/>
      <c r="AF68" s="31"/>
      <c r="AG68" s="31"/>
      <c r="AH68" s="31"/>
      <c r="AI68" s="31"/>
      <c r="AJ68" s="31"/>
      <c r="AK68" s="31">
        <v>15000</v>
      </c>
      <c r="AL68" s="31"/>
      <c r="AM68" s="31"/>
      <c r="AN68" s="31"/>
      <c r="AO68" s="31"/>
      <c r="AP68" s="31"/>
      <c r="AQ68" s="31"/>
      <c r="AR68" s="31">
        <f t="shared" si="1"/>
        <v>2204396</v>
      </c>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f t="shared" si="6"/>
        <v>0</v>
      </c>
    </row>
    <row r="69" spans="1:75" ht="74.25" customHeight="1" x14ac:dyDescent="0.8">
      <c r="A69" s="14" t="s">
        <v>197</v>
      </c>
      <c r="B69" s="15" t="s">
        <v>198</v>
      </c>
      <c r="C69" s="32"/>
      <c r="D69" s="32"/>
      <c r="E69" s="32"/>
      <c r="F69" s="32"/>
      <c r="G69" s="31"/>
      <c r="H69" s="31"/>
      <c r="I69" s="31"/>
      <c r="J69" s="31"/>
      <c r="K69" s="31"/>
      <c r="L69" s="31"/>
      <c r="M69" s="31"/>
      <c r="N69" s="31"/>
      <c r="O69" s="31"/>
      <c r="P69" s="31">
        <f t="shared" si="0"/>
        <v>455477</v>
      </c>
      <c r="Q69" s="31"/>
      <c r="R69" s="31"/>
      <c r="S69" s="31"/>
      <c r="T69" s="31"/>
      <c r="U69" s="31"/>
      <c r="V69" s="31"/>
      <c r="W69" s="31">
        <v>455477</v>
      </c>
      <c r="X69" s="31"/>
      <c r="Y69" s="31"/>
      <c r="Z69" s="31"/>
      <c r="AA69" s="31"/>
      <c r="AB69" s="31"/>
      <c r="AC69" s="31"/>
      <c r="AD69" s="31"/>
      <c r="AE69" s="31"/>
      <c r="AF69" s="31"/>
      <c r="AG69" s="31"/>
      <c r="AH69" s="31"/>
      <c r="AI69" s="31"/>
      <c r="AJ69" s="31"/>
      <c r="AK69" s="31"/>
      <c r="AL69" s="31"/>
      <c r="AM69" s="31"/>
      <c r="AN69" s="31"/>
      <c r="AO69" s="31"/>
      <c r="AP69" s="31"/>
      <c r="AQ69" s="31"/>
      <c r="AR69" s="31">
        <f t="shared" si="1"/>
        <v>455477</v>
      </c>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f t="shared" si="6"/>
        <v>0</v>
      </c>
    </row>
    <row r="70" spans="1:75" ht="74.25" customHeight="1" x14ac:dyDescent="0.8">
      <c r="A70" s="14" t="s">
        <v>146</v>
      </c>
      <c r="B70" s="15" t="s">
        <v>147</v>
      </c>
      <c r="C70" s="32"/>
      <c r="D70" s="32"/>
      <c r="E70" s="32"/>
      <c r="F70" s="32"/>
      <c r="G70" s="31"/>
      <c r="H70" s="31"/>
      <c r="I70" s="31"/>
      <c r="J70" s="31"/>
      <c r="K70" s="31">
        <v>46000</v>
      </c>
      <c r="L70" s="31"/>
      <c r="M70" s="31"/>
      <c r="N70" s="31">
        <v>46000</v>
      </c>
      <c r="O70" s="31"/>
      <c r="P70" s="31">
        <f t="shared" si="0"/>
        <v>1397365</v>
      </c>
      <c r="Q70" s="31"/>
      <c r="R70" s="31"/>
      <c r="S70" s="31"/>
      <c r="T70" s="31">
        <v>375000</v>
      </c>
      <c r="U70" s="31"/>
      <c r="V70" s="31"/>
      <c r="W70" s="31">
        <v>1022365</v>
      </c>
      <c r="X70" s="31">
        <v>160840</v>
      </c>
      <c r="Y70" s="31"/>
      <c r="Z70" s="31"/>
      <c r="AA70" s="31"/>
      <c r="AB70" s="31"/>
      <c r="AC70" s="31"/>
      <c r="AD70" s="31"/>
      <c r="AE70" s="31"/>
      <c r="AF70" s="31"/>
      <c r="AG70" s="31"/>
      <c r="AH70" s="31"/>
      <c r="AI70" s="31"/>
      <c r="AJ70" s="31"/>
      <c r="AK70" s="31">
        <v>143000</v>
      </c>
      <c r="AL70" s="31"/>
      <c r="AM70" s="31"/>
      <c r="AN70" s="31"/>
      <c r="AO70" s="31"/>
      <c r="AP70" s="31"/>
      <c r="AQ70" s="31"/>
      <c r="AR70" s="31">
        <f t="shared" si="1"/>
        <v>1747205</v>
      </c>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f t="shared" si="6"/>
        <v>0</v>
      </c>
    </row>
    <row r="71" spans="1:75" ht="74.25" customHeight="1" x14ac:dyDescent="0.8">
      <c r="A71" s="14" t="s">
        <v>199</v>
      </c>
      <c r="B71" s="15" t="s">
        <v>203</v>
      </c>
      <c r="C71" s="32"/>
      <c r="D71" s="32"/>
      <c r="E71" s="32"/>
      <c r="F71" s="32"/>
      <c r="G71" s="31"/>
      <c r="H71" s="31"/>
      <c r="I71" s="31"/>
      <c r="J71" s="31"/>
      <c r="K71" s="31"/>
      <c r="L71" s="31"/>
      <c r="M71" s="31"/>
      <c r="N71" s="31"/>
      <c r="O71" s="31"/>
      <c r="P71" s="31">
        <f t="shared" si="0"/>
        <v>322220</v>
      </c>
      <c r="Q71" s="31"/>
      <c r="R71" s="31"/>
      <c r="S71" s="31"/>
      <c r="T71" s="31"/>
      <c r="U71" s="31"/>
      <c r="V71" s="31"/>
      <c r="W71" s="31">
        <v>322220</v>
      </c>
      <c r="X71" s="31"/>
      <c r="Y71" s="31"/>
      <c r="Z71" s="31"/>
      <c r="AA71" s="31"/>
      <c r="AB71" s="31"/>
      <c r="AC71" s="31"/>
      <c r="AD71" s="31"/>
      <c r="AE71" s="31"/>
      <c r="AF71" s="31"/>
      <c r="AG71" s="31"/>
      <c r="AH71" s="31"/>
      <c r="AI71" s="31"/>
      <c r="AJ71" s="31"/>
      <c r="AK71" s="31"/>
      <c r="AL71" s="31"/>
      <c r="AM71" s="31"/>
      <c r="AN71" s="31"/>
      <c r="AO71" s="31"/>
      <c r="AP71" s="31"/>
      <c r="AQ71" s="31"/>
      <c r="AR71" s="31">
        <f t="shared" si="1"/>
        <v>322220</v>
      </c>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f t="shared" si="6"/>
        <v>0</v>
      </c>
    </row>
    <row r="72" spans="1:75" ht="74.25" customHeight="1" x14ac:dyDescent="0.8">
      <c r="A72" s="14" t="s">
        <v>200</v>
      </c>
      <c r="B72" s="15" t="s">
        <v>204</v>
      </c>
      <c r="C72" s="32"/>
      <c r="D72" s="32"/>
      <c r="E72" s="32"/>
      <c r="F72" s="32"/>
      <c r="G72" s="31"/>
      <c r="H72" s="31"/>
      <c r="I72" s="31"/>
      <c r="J72" s="31"/>
      <c r="K72" s="31"/>
      <c r="L72" s="31"/>
      <c r="M72" s="31"/>
      <c r="N72" s="31"/>
      <c r="O72" s="31"/>
      <c r="P72" s="31">
        <f t="shared" si="0"/>
        <v>2681133</v>
      </c>
      <c r="Q72" s="31"/>
      <c r="R72" s="31"/>
      <c r="S72" s="31"/>
      <c r="T72" s="31">
        <v>750000</v>
      </c>
      <c r="U72" s="31"/>
      <c r="V72" s="31"/>
      <c r="W72" s="31">
        <v>1931133</v>
      </c>
      <c r="X72" s="31">
        <v>523321</v>
      </c>
      <c r="Y72" s="31"/>
      <c r="Z72" s="31"/>
      <c r="AA72" s="31"/>
      <c r="AB72" s="31"/>
      <c r="AC72" s="31"/>
      <c r="AD72" s="31"/>
      <c r="AE72" s="31"/>
      <c r="AF72" s="31"/>
      <c r="AG72" s="31"/>
      <c r="AH72" s="31"/>
      <c r="AI72" s="31"/>
      <c r="AJ72" s="31"/>
      <c r="AK72" s="31"/>
      <c r="AL72" s="31"/>
      <c r="AM72" s="31"/>
      <c r="AN72" s="31"/>
      <c r="AO72" s="31">
        <v>630000</v>
      </c>
      <c r="AP72" s="31"/>
      <c r="AQ72" s="31"/>
      <c r="AR72" s="31">
        <f t="shared" si="1"/>
        <v>3834454</v>
      </c>
      <c r="AS72" s="31"/>
      <c r="AT72" s="31"/>
      <c r="AU72" s="31"/>
      <c r="AV72" s="31"/>
      <c r="AW72" s="31"/>
      <c r="AX72" s="31"/>
      <c r="AY72" s="31"/>
      <c r="AZ72" s="31"/>
      <c r="BA72" s="31"/>
      <c r="BB72" s="31"/>
      <c r="BC72" s="31"/>
      <c r="BD72" s="31"/>
      <c r="BE72" s="31"/>
      <c r="BF72" s="31">
        <v>17200</v>
      </c>
      <c r="BG72" s="31"/>
      <c r="BH72" s="31"/>
      <c r="BI72" s="31"/>
      <c r="BJ72" s="31"/>
      <c r="BK72" s="31"/>
      <c r="BL72" s="31"/>
      <c r="BM72" s="31"/>
      <c r="BN72" s="31"/>
      <c r="BO72" s="31"/>
      <c r="BP72" s="31"/>
      <c r="BQ72" s="31"/>
      <c r="BR72" s="31"/>
      <c r="BS72" s="31"/>
      <c r="BT72" s="31"/>
      <c r="BU72" s="31"/>
      <c r="BV72" s="31"/>
      <c r="BW72" s="31">
        <f t="shared" si="6"/>
        <v>17200</v>
      </c>
    </row>
    <row r="73" spans="1:75" ht="74.25" customHeight="1" x14ac:dyDescent="0.8">
      <c r="A73" s="14" t="s">
        <v>201</v>
      </c>
      <c r="B73" s="15" t="s">
        <v>205</v>
      </c>
      <c r="C73" s="32"/>
      <c r="D73" s="32"/>
      <c r="E73" s="32"/>
      <c r="F73" s="32"/>
      <c r="G73" s="31"/>
      <c r="H73" s="31"/>
      <c r="I73" s="31"/>
      <c r="J73" s="31"/>
      <c r="K73" s="31"/>
      <c r="L73" s="31"/>
      <c r="M73" s="31"/>
      <c r="N73" s="31"/>
      <c r="O73" s="31"/>
      <c r="P73" s="31">
        <f t="shared" si="0"/>
        <v>360449</v>
      </c>
      <c r="Q73" s="31"/>
      <c r="R73" s="31"/>
      <c r="S73" s="31"/>
      <c r="T73" s="31"/>
      <c r="U73" s="31"/>
      <c r="V73" s="31"/>
      <c r="W73" s="31">
        <v>360449</v>
      </c>
      <c r="X73" s="31"/>
      <c r="Y73" s="31"/>
      <c r="Z73" s="31"/>
      <c r="AA73" s="31"/>
      <c r="AB73" s="31"/>
      <c r="AC73" s="31"/>
      <c r="AD73" s="31"/>
      <c r="AE73" s="31"/>
      <c r="AF73" s="31"/>
      <c r="AG73" s="31"/>
      <c r="AH73" s="31"/>
      <c r="AI73" s="31"/>
      <c r="AJ73" s="31"/>
      <c r="AK73" s="31"/>
      <c r="AL73" s="31"/>
      <c r="AM73" s="31"/>
      <c r="AN73" s="31"/>
      <c r="AO73" s="31"/>
      <c r="AP73" s="31"/>
      <c r="AQ73" s="31"/>
      <c r="AR73" s="31">
        <f t="shared" si="1"/>
        <v>360449</v>
      </c>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f t="shared" si="6"/>
        <v>0</v>
      </c>
    </row>
    <row r="74" spans="1:75" ht="74.25" customHeight="1" x14ac:dyDescent="0.8">
      <c r="A74" s="14" t="s">
        <v>202</v>
      </c>
      <c r="B74" s="15" t="s">
        <v>206</v>
      </c>
      <c r="C74" s="32"/>
      <c r="D74" s="32"/>
      <c r="E74" s="32"/>
      <c r="F74" s="32"/>
      <c r="G74" s="31"/>
      <c r="H74" s="31"/>
      <c r="I74" s="31"/>
      <c r="J74" s="31"/>
      <c r="K74" s="31"/>
      <c r="L74" s="31"/>
      <c r="M74" s="31"/>
      <c r="N74" s="31"/>
      <c r="O74" s="31"/>
      <c r="P74" s="31">
        <f t="shared" si="0"/>
        <v>890200</v>
      </c>
      <c r="Q74" s="31"/>
      <c r="R74" s="31"/>
      <c r="S74" s="31"/>
      <c r="T74" s="31"/>
      <c r="U74" s="31"/>
      <c r="V74" s="31"/>
      <c r="W74" s="31">
        <v>890200</v>
      </c>
      <c r="X74" s="31"/>
      <c r="Y74" s="31"/>
      <c r="Z74" s="31"/>
      <c r="AA74" s="31"/>
      <c r="AB74" s="31"/>
      <c r="AC74" s="31"/>
      <c r="AD74" s="31"/>
      <c r="AE74" s="31"/>
      <c r="AF74" s="31"/>
      <c r="AG74" s="31"/>
      <c r="AH74" s="31"/>
      <c r="AI74" s="31"/>
      <c r="AJ74" s="31"/>
      <c r="AK74" s="31">
        <v>155000</v>
      </c>
      <c r="AL74" s="31"/>
      <c r="AM74" s="31"/>
      <c r="AN74" s="31"/>
      <c r="AO74" s="31"/>
      <c r="AP74" s="31"/>
      <c r="AQ74" s="31"/>
      <c r="AR74" s="31">
        <f t="shared" si="1"/>
        <v>1045200</v>
      </c>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f t="shared" si="6"/>
        <v>0</v>
      </c>
    </row>
    <row r="75" spans="1:75" ht="74.25" customHeight="1" x14ac:dyDescent="0.8">
      <c r="A75" s="14" t="s">
        <v>183</v>
      </c>
      <c r="B75" s="15" t="s">
        <v>179</v>
      </c>
      <c r="C75" s="32"/>
      <c r="D75" s="32"/>
      <c r="E75" s="32"/>
      <c r="F75" s="32"/>
      <c r="G75" s="31"/>
      <c r="H75" s="31"/>
      <c r="I75" s="31"/>
      <c r="J75" s="31"/>
      <c r="K75" s="31"/>
      <c r="L75" s="31"/>
      <c r="M75" s="31"/>
      <c r="N75" s="31"/>
      <c r="O75" s="31"/>
      <c r="P75" s="31">
        <f t="shared" si="0"/>
        <v>1769477</v>
      </c>
      <c r="Q75" s="31"/>
      <c r="R75" s="31"/>
      <c r="S75" s="31"/>
      <c r="T75" s="31"/>
      <c r="U75" s="31"/>
      <c r="V75" s="31"/>
      <c r="W75" s="31">
        <v>1769477</v>
      </c>
      <c r="X75" s="31">
        <v>216590</v>
      </c>
      <c r="Y75" s="31"/>
      <c r="Z75" s="31"/>
      <c r="AA75" s="31"/>
      <c r="AB75" s="31"/>
      <c r="AC75" s="31"/>
      <c r="AD75" s="31"/>
      <c r="AE75" s="31"/>
      <c r="AF75" s="31"/>
      <c r="AG75" s="31"/>
      <c r="AH75" s="31"/>
      <c r="AI75" s="31"/>
      <c r="AJ75" s="31"/>
      <c r="AK75" s="31">
        <v>82300</v>
      </c>
      <c r="AL75" s="31"/>
      <c r="AM75" s="31"/>
      <c r="AN75" s="31"/>
      <c r="AO75" s="31"/>
      <c r="AP75" s="31"/>
      <c r="AQ75" s="31"/>
      <c r="AR75" s="31">
        <f t="shared" si="1"/>
        <v>2068367</v>
      </c>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f t="shared" si="6"/>
        <v>0</v>
      </c>
    </row>
    <row r="76" spans="1:75" ht="74.25" customHeight="1" x14ac:dyDescent="0.8">
      <c r="A76" s="14" t="s">
        <v>149</v>
      </c>
      <c r="B76" s="15" t="s">
        <v>150</v>
      </c>
      <c r="C76" s="32"/>
      <c r="D76" s="32"/>
      <c r="E76" s="32"/>
      <c r="F76" s="32"/>
      <c r="G76" s="31"/>
      <c r="H76" s="31"/>
      <c r="I76" s="31"/>
      <c r="J76" s="31"/>
      <c r="K76" s="31">
        <v>50000</v>
      </c>
      <c r="L76" s="31"/>
      <c r="M76" s="31"/>
      <c r="N76" s="31">
        <v>50000</v>
      </c>
      <c r="O76" s="31"/>
      <c r="P76" s="31">
        <f t="shared" si="0"/>
        <v>1488764</v>
      </c>
      <c r="Q76" s="31"/>
      <c r="R76" s="31"/>
      <c r="S76" s="31"/>
      <c r="T76" s="31"/>
      <c r="U76" s="31"/>
      <c r="V76" s="31"/>
      <c r="W76" s="31">
        <v>1488764</v>
      </c>
      <c r="X76" s="31"/>
      <c r="Y76" s="31"/>
      <c r="Z76" s="31"/>
      <c r="AA76" s="31"/>
      <c r="AB76" s="31"/>
      <c r="AC76" s="31"/>
      <c r="AD76" s="31"/>
      <c r="AE76" s="31"/>
      <c r="AF76" s="31"/>
      <c r="AG76" s="31"/>
      <c r="AH76" s="31"/>
      <c r="AI76" s="31"/>
      <c r="AJ76" s="31"/>
      <c r="AK76" s="31">
        <v>90000</v>
      </c>
      <c r="AL76" s="31"/>
      <c r="AM76" s="31"/>
      <c r="AN76" s="31"/>
      <c r="AO76" s="31">
        <v>600000</v>
      </c>
      <c r="AP76" s="31"/>
      <c r="AQ76" s="31">
        <f>560000</f>
        <v>560000</v>
      </c>
      <c r="AR76" s="31">
        <f t="shared" si="1"/>
        <v>2788764</v>
      </c>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f t="shared" ref="BW76:BW89" si="12">SUM(AT76:BV76)-BM76</f>
        <v>0</v>
      </c>
    </row>
    <row r="77" spans="1:75" ht="74.25" customHeight="1" x14ac:dyDescent="0.8">
      <c r="A77" s="14" t="s">
        <v>207</v>
      </c>
      <c r="B77" s="15" t="s">
        <v>213</v>
      </c>
      <c r="C77" s="32"/>
      <c r="D77" s="32"/>
      <c r="E77" s="32"/>
      <c r="F77" s="32"/>
      <c r="G77" s="31"/>
      <c r="H77" s="31"/>
      <c r="I77" s="31"/>
      <c r="J77" s="31"/>
      <c r="K77" s="31"/>
      <c r="L77" s="31"/>
      <c r="M77" s="31"/>
      <c r="N77" s="31"/>
      <c r="O77" s="31"/>
      <c r="P77" s="31">
        <f t="shared" ref="P77:P88" si="13">Q77+R77+S77+T77+U77+W77+V77</f>
        <v>264329</v>
      </c>
      <c r="Q77" s="31"/>
      <c r="R77" s="31"/>
      <c r="S77" s="31"/>
      <c r="T77" s="31"/>
      <c r="U77" s="31"/>
      <c r="V77" s="31"/>
      <c r="W77" s="31">
        <v>264329</v>
      </c>
      <c r="X77" s="31"/>
      <c r="Y77" s="31"/>
      <c r="Z77" s="31"/>
      <c r="AA77" s="31"/>
      <c r="AB77" s="31"/>
      <c r="AC77" s="31"/>
      <c r="AD77" s="31"/>
      <c r="AE77" s="31"/>
      <c r="AF77" s="31"/>
      <c r="AG77" s="31"/>
      <c r="AH77" s="31"/>
      <c r="AI77" s="31"/>
      <c r="AJ77" s="31"/>
      <c r="AK77" s="31"/>
      <c r="AL77" s="31"/>
      <c r="AM77" s="31"/>
      <c r="AN77" s="31"/>
      <c r="AO77" s="31"/>
      <c r="AP77" s="31"/>
      <c r="AQ77" s="31"/>
      <c r="AR77" s="31">
        <f t="shared" ref="AR77:AR87" si="14">SUM(C77:AQ77)-N77-O77-Q77-R77-S77-T77-U77-W77-M77-L77-V77</f>
        <v>264329</v>
      </c>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f t="shared" si="12"/>
        <v>0</v>
      </c>
    </row>
    <row r="78" spans="1:75" ht="74.25" customHeight="1" x14ac:dyDescent="0.8">
      <c r="A78" s="14" t="s">
        <v>208</v>
      </c>
      <c r="B78" s="15" t="s">
        <v>214</v>
      </c>
      <c r="C78" s="32"/>
      <c r="D78" s="32"/>
      <c r="E78" s="32"/>
      <c r="F78" s="32"/>
      <c r="G78" s="31"/>
      <c r="H78" s="31"/>
      <c r="I78" s="31"/>
      <c r="J78" s="31"/>
      <c r="K78" s="31"/>
      <c r="L78" s="31"/>
      <c r="M78" s="31"/>
      <c r="N78" s="31"/>
      <c r="O78" s="31"/>
      <c r="P78" s="31">
        <f t="shared" si="13"/>
        <v>406324</v>
      </c>
      <c r="Q78" s="31"/>
      <c r="R78" s="31"/>
      <c r="S78" s="31"/>
      <c r="T78" s="31"/>
      <c r="U78" s="31"/>
      <c r="V78" s="31"/>
      <c r="W78" s="31">
        <v>406324</v>
      </c>
      <c r="X78" s="31"/>
      <c r="Y78" s="31"/>
      <c r="Z78" s="31"/>
      <c r="AA78" s="31"/>
      <c r="AB78" s="31"/>
      <c r="AC78" s="31"/>
      <c r="AD78" s="31"/>
      <c r="AE78" s="31"/>
      <c r="AF78" s="31"/>
      <c r="AG78" s="31"/>
      <c r="AH78" s="31"/>
      <c r="AI78" s="31"/>
      <c r="AJ78" s="31"/>
      <c r="AK78" s="31"/>
      <c r="AL78" s="31"/>
      <c r="AM78" s="31"/>
      <c r="AN78" s="31"/>
      <c r="AO78" s="31"/>
      <c r="AP78" s="31"/>
      <c r="AQ78" s="31"/>
      <c r="AR78" s="31">
        <f t="shared" si="14"/>
        <v>406324</v>
      </c>
      <c r="AS78" s="31"/>
      <c r="AT78" s="31"/>
      <c r="AU78" s="31"/>
      <c r="AV78" s="31"/>
      <c r="AW78" s="31"/>
      <c r="AX78" s="31"/>
      <c r="AY78" s="31"/>
      <c r="AZ78" s="31"/>
      <c r="BA78" s="31"/>
      <c r="BB78" s="31"/>
      <c r="BC78" s="31"/>
      <c r="BD78" s="31"/>
      <c r="BE78" s="31"/>
      <c r="BF78" s="31">
        <v>4000</v>
      </c>
      <c r="BG78" s="31"/>
      <c r="BH78" s="31"/>
      <c r="BI78" s="31"/>
      <c r="BJ78" s="31"/>
      <c r="BK78" s="31"/>
      <c r="BL78" s="31"/>
      <c r="BM78" s="31"/>
      <c r="BN78" s="31"/>
      <c r="BO78" s="31"/>
      <c r="BP78" s="31"/>
      <c r="BQ78" s="31"/>
      <c r="BR78" s="31"/>
      <c r="BS78" s="31"/>
      <c r="BT78" s="31"/>
      <c r="BU78" s="31"/>
      <c r="BV78" s="31"/>
      <c r="BW78" s="31">
        <f t="shared" si="12"/>
        <v>4000</v>
      </c>
    </row>
    <row r="79" spans="1:75" ht="74.25" customHeight="1" x14ac:dyDescent="0.8">
      <c r="A79" s="14" t="s">
        <v>209</v>
      </c>
      <c r="B79" s="15" t="s">
        <v>215</v>
      </c>
      <c r="C79" s="32"/>
      <c r="D79" s="32"/>
      <c r="E79" s="32"/>
      <c r="F79" s="32"/>
      <c r="G79" s="31"/>
      <c r="H79" s="31"/>
      <c r="I79" s="31"/>
      <c r="J79" s="31"/>
      <c r="K79" s="31"/>
      <c r="L79" s="31"/>
      <c r="M79" s="31"/>
      <c r="N79" s="31"/>
      <c r="O79" s="31"/>
      <c r="P79" s="31">
        <f t="shared" si="13"/>
        <v>337511</v>
      </c>
      <c r="Q79" s="31"/>
      <c r="R79" s="31"/>
      <c r="S79" s="31"/>
      <c r="T79" s="31"/>
      <c r="U79" s="31"/>
      <c r="V79" s="31"/>
      <c r="W79" s="31">
        <v>337511</v>
      </c>
      <c r="X79" s="31"/>
      <c r="Y79" s="31"/>
      <c r="Z79" s="31"/>
      <c r="AA79" s="31"/>
      <c r="AB79" s="31"/>
      <c r="AC79" s="31"/>
      <c r="AD79" s="31"/>
      <c r="AE79" s="31"/>
      <c r="AF79" s="31"/>
      <c r="AG79" s="31"/>
      <c r="AH79" s="31"/>
      <c r="AI79" s="31"/>
      <c r="AJ79" s="31"/>
      <c r="AK79" s="31">
        <v>17000</v>
      </c>
      <c r="AL79" s="31"/>
      <c r="AM79" s="31"/>
      <c r="AN79" s="31"/>
      <c r="AO79" s="31"/>
      <c r="AP79" s="31"/>
      <c r="AQ79" s="31"/>
      <c r="AR79" s="31">
        <f t="shared" si="14"/>
        <v>354511</v>
      </c>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f t="shared" si="12"/>
        <v>0</v>
      </c>
    </row>
    <row r="80" spans="1:75" ht="74.25" customHeight="1" x14ac:dyDescent="0.8">
      <c r="A80" s="14" t="s">
        <v>210</v>
      </c>
      <c r="B80" s="15" t="s">
        <v>216</v>
      </c>
      <c r="C80" s="32"/>
      <c r="D80" s="32"/>
      <c r="E80" s="32"/>
      <c r="F80" s="32"/>
      <c r="G80" s="31"/>
      <c r="H80" s="31"/>
      <c r="I80" s="31"/>
      <c r="J80" s="31"/>
      <c r="K80" s="31"/>
      <c r="L80" s="31"/>
      <c r="M80" s="31"/>
      <c r="N80" s="31"/>
      <c r="O80" s="31"/>
      <c r="P80" s="31">
        <f t="shared" si="13"/>
        <v>478414</v>
      </c>
      <c r="Q80" s="31"/>
      <c r="R80" s="31"/>
      <c r="S80" s="31"/>
      <c r="T80" s="31"/>
      <c r="U80" s="31"/>
      <c r="V80" s="31"/>
      <c r="W80" s="31">
        <v>478414</v>
      </c>
      <c r="X80" s="31">
        <v>12816</v>
      </c>
      <c r="Y80" s="31"/>
      <c r="Z80" s="31"/>
      <c r="AA80" s="31"/>
      <c r="AB80" s="31"/>
      <c r="AC80" s="31"/>
      <c r="AD80" s="31"/>
      <c r="AE80" s="31"/>
      <c r="AF80" s="31"/>
      <c r="AG80" s="31"/>
      <c r="AH80" s="31"/>
      <c r="AI80" s="31"/>
      <c r="AJ80" s="31"/>
      <c r="AK80" s="31">
        <v>90000</v>
      </c>
      <c r="AL80" s="31"/>
      <c r="AM80" s="31"/>
      <c r="AN80" s="31"/>
      <c r="AO80" s="31"/>
      <c r="AP80" s="31"/>
      <c r="AQ80" s="31"/>
      <c r="AR80" s="31">
        <f t="shared" si="14"/>
        <v>581230</v>
      </c>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f t="shared" si="12"/>
        <v>0</v>
      </c>
    </row>
    <row r="81" spans="1:75" ht="74.25" customHeight="1" x14ac:dyDescent="0.8">
      <c r="A81" s="14" t="s">
        <v>211</v>
      </c>
      <c r="B81" s="15" t="s">
        <v>217</v>
      </c>
      <c r="C81" s="32"/>
      <c r="D81" s="32"/>
      <c r="E81" s="32"/>
      <c r="F81" s="32"/>
      <c r="G81" s="31"/>
      <c r="H81" s="31"/>
      <c r="I81" s="31"/>
      <c r="J81" s="31"/>
      <c r="K81" s="31"/>
      <c r="L81" s="31"/>
      <c r="M81" s="31"/>
      <c r="N81" s="31"/>
      <c r="O81" s="31"/>
      <c r="P81" s="31">
        <f t="shared" si="13"/>
        <v>288359</v>
      </c>
      <c r="Q81" s="31"/>
      <c r="R81" s="31"/>
      <c r="S81" s="31"/>
      <c r="T81" s="31"/>
      <c r="U81" s="31"/>
      <c r="V81" s="31"/>
      <c r="W81" s="31">
        <v>288359</v>
      </c>
      <c r="X81" s="31"/>
      <c r="Y81" s="31"/>
      <c r="Z81" s="31"/>
      <c r="AA81" s="31"/>
      <c r="AB81" s="31"/>
      <c r="AC81" s="31"/>
      <c r="AD81" s="31"/>
      <c r="AE81" s="31"/>
      <c r="AF81" s="31"/>
      <c r="AG81" s="31"/>
      <c r="AH81" s="31"/>
      <c r="AI81" s="31"/>
      <c r="AJ81" s="31"/>
      <c r="AK81" s="31"/>
      <c r="AL81" s="31"/>
      <c r="AM81" s="31"/>
      <c r="AN81" s="31"/>
      <c r="AO81" s="31"/>
      <c r="AP81" s="31"/>
      <c r="AQ81" s="31"/>
      <c r="AR81" s="31">
        <f t="shared" si="14"/>
        <v>288359</v>
      </c>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f t="shared" si="12"/>
        <v>0</v>
      </c>
    </row>
    <row r="82" spans="1:75" ht="74.25" customHeight="1" x14ac:dyDescent="0.8">
      <c r="A82" s="14" t="s">
        <v>212</v>
      </c>
      <c r="B82" s="15" t="s">
        <v>218</v>
      </c>
      <c r="C82" s="32"/>
      <c r="D82" s="32"/>
      <c r="E82" s="32"/>
      <c r="F82" s="32"/>
      <c r="G82" s="31"/>
      <c r="H82" s="31"/>
      <c r="I82" s="31"/>
      <c r="J82" s="31"/>
      <c r="K82" s="31"/>
      <c r="L82" s="31"/>
      <c r="M82" s="31"/>
      <c r="N82" s="31"/>
      <c r="O82" s="31"/>
      <c r="P82" s="31">
        <f t="shared" si="13"/>
        <v>258868</v>
      </c>
      <c r="Q82" s="31"/>
      <c r="R82" s="31"/>
      <c r="S82" s="31"/>
      <c r="T82" s="31"/>
      <c r="U82" s="31"/>
      <c r="V82" s="31"/>
      <c r="W82" s="31">
        <v>258868</v>
      </c>
      <c r="X82" s="31"/>
      <c r="Y82" s="31"/>
      <c r="Z82" s="31"/>
      <c r="AA82" s="31"/>
      <c r="AB82" s="31"/>
      <c r="AC82" s="31"/>
      <c r="AD82" s="31"/>
      <c r="AE82" s="31"/>
      <c r="AF82" s="31"/>
      <c r="AG82" s="31"/>
      <c r="AH82" s="31"/>
      <c r="AI82" s="31"/>
      <c r="AJ82" s="31"/>
      <c r="AK82" s="31"/>
      <c r="AL82" s="31"/>
      <c r="AM82" s="31"/>
      <c r="AN82" s="31"/>
      <c r="AO82" s="31"/>
      <c r="AP82" s="31"/>
      <c r="AQ82" s="31"/>
      <c r="AR82" s="31">
        <f>SUM(C82:AQ82)-N82-O82-Q82-R82-S82-T82-U82-W82-M82-L82-V82</f>
        <v>258868</v>
      </c>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f t="shared" si="12"/>
        <v>0</v>
      </c>
    </row>
    <row r="83" spans="1:75" ht="74.25" customHeight="1" x14ac:dyDescent="0.8">
      <c r="A83" s="14" t="s">
        <v>148</v>
      </c>
      <c r="B83" s="15" t="s">
        <v>172</v>
      </c>
      <c r="C83" s="32"/>
      <c r="D83" s="32"/>
      <c r="E83" s="32"/>
      <c r="F83" s="32"/>
      <c r="G83" s="31"/>
      <c r="H83" s="31"/>
      <c r="I83" s="31"/>
      <c r="J83" s="31"/>
      <c r="K83" s="31">
        <v>45000</v>
      </c>
      <c r="L83" s="31"/>
      <c r="M83" s="31"/>
      <c r="N83" s="31">
        <v>45000</v>
      </c>
      <c r="O83" s="31"/>
      <c r="P83" s="31">
        <f t="shared" si="13"/>
        <v>304801</v>
      </c>
      <c r="Q83" s="31"/>
      <c r="R83" s="31"/>
      <c r="S83" s="31"/>
      <c r="T83" s="31"/>
      <c r="U83" s="31"/>
      <c r="V83" s="31"/>
      <c r="W83" s="31">
        <v>304801</v>
      </c>
      <c r="X83" s="31"/>
      <c r="Y83" s="31"/>
      <c r="Z83" s="31"/>
      <c r="AA83" s="31"/>
      <c r="AB83" s="31"/>
      <c r="AC83" s="31"/>
      <c r="AD83" s="31"/>
      <c r="AE83" s="31"/>
      <c r="AF83" s="31"/>
      <c r="AG83" s="31"/>
      <c r="AH83" s="31"/>
      <c r="AI83" s="31"/>
      <c r="AJ83" s="31"/>
      <c r="AK83" s="31">
        <v>38000</v>
      </c>
      <c r="AL83" s="31"/>
      <c r="AM83" s="31"/>
      <c r="AN83" s="31"/>
      <c r="AO83" s="31">
        <v>354000</v>
      </c>
      <c r="AP83" s="31"/>
      <c r="AQ83" s="31"/>
      <c r="AR83" s="31">
        <f>SUM(C83:AQ83)-N83-O83-Q83-R83-S83-T83-U83-W83-M83-L83-V83</f>
        <v>741801</v>
      </c>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f t="shared" si="12"/>
        <v>0</v>
      </c>
    </row>
    <row r="84" spans="1:75" ht="74.25" customHeight="1" x14ac:dyDescent="0.8">
      <c r="A84" s="14"/>
      <c r="B84" s="15" t="s">
        <v>56</v>
      </c>
      <c r="C84" s="32">
        <f>SUM(C50:C83)</f>
        <v>0</v>
      </c>
      <c r="D84" s="32">
        <f t="shared" ref="D84:AP84" si="15">SUM(D50:D83)</f>
        <v>0</v>
      </c>
      <c r="E84" s="32">
        <f t="shared" si="15"/>
        <v>0</v>
      </c>
      <c r="F84" s="32">
        <f t="shared" si="15"/>
        <v>0</v>
      </c>
      <c r="G84" s="32">
        <f t="shared" si="15"/>
        <v>0</v>
      </c>
      <c r="H84" s="32">
        <f>SUM(H50:H83)</f>
        <v>0</v>
      </c>
      <c r="I84" s="32">
        <f>SUM(I50:I83)</f>
        <v>1018155</v>
      </c>
      <c r="J84" s="32">
        <f>SUM(J50:J83)</f>
        <v>0</v>
      </c>
      <c r="K84" s="32">
        <f t="shared" si="15"/>
        <v>141000</v>
      </c>
      <c r="L84" s="32">
        <f>SUM(L50:L83)</f>
        <v>0</v>
      </c>
      <c r="M84" s="32">
        <f>SUM(M50:M83)</f>
        <v>0</v>
      </c>
      <c r="N84" s="32">
        <f t="shared" si="15"/>
        <v>141000</v>
      </c>
      <c r="O84" s="32">
        <f t="shared" si="15"/>
        <v>0</v>
      </c>
      <c r="P84" s="32">
        <f t="shared" si="15"/>
        <v>35869296</v>
      </c>
      <c r="Q84" s="32">
        <f t="shared" si="15"/>
        <v>150000</v>
      </c>
      <c r="R84" s="32">
        <f t="shared" si="15"/>
        <v>0</v>
      </c>
      <c r="S84" s="32">
        <f t="shared" si="15"/>
        <v>0</v>
      </c>
      <c r="T84" s="32">
        <f>SUM(T50:T83)</f>
        <v>2250000</v>
      </c>
      <c r="U84" s="32">
        <f t="shared" si="15"/>
        <v>6500080</v>
      </c>
      <c r="V84" s="32">
        <f ca="1">SUM(V50:V84)</f>
        <v>0</v>
      </c>
      <c r="W84" s="32">
        <f t="shared" si="15"/>
        <v>26643800</v>
      </c>
      <c r="X84" s="32">
        <f t="shared" si="15"/>
        <v>1683165</v>
      </c>
      <c r="Y84" s="32">
        <f t="shared" si="15"/>
        <v>901232</v>
      </c>
      <c r="Z84" s="32"/>
      <c r="AA84" s="32">
        <f t="shared" si="15"/>
        <v>0</v>
      </c>
      <c r="AB84" s="32">
        <f t="shared" si="15"/>
        <v>0</v>
      </c>
      <c r="AC84" s="32">
        <f t="shared" si="15"/>
        <v>0</v>
      </c>
      <c r="AD84" s="32">
        <f t="shared" si="15"/>
        <v>0</v>
      </c>
      <c r="AE84" s="32">
        <f t="shared" si="15"/>
        <v>0</v>
      </c>
      <c r="AF84" s="32">
        <f t="shared" si="15"/>
        <v>0</v>
      </c>
      <c r="AG84" s="32">
        <f t="shared" si="15"/>
        <v>0</v>
      </c>
      <c r="AH84" s="32">
        <f t="shared" si="15"/>
        <v>0</v>
      </c>
      <c r="AI84" s="32">
        <f t="shared" si="15"/>
        <v>0</v>
      </c>
      <c r="AJ84" s="32">
        <f t="shared" si="15"/>
        <v>0</v>
      </c>
      <c r="AK84" s="32">
        <f t="shared" si="15"/>
        <v>2566100</v>
      </c>
      <c r="AL84" s="32">
        <f t="shared" si="15"/>
        <v>0</v>
      </c>
      <c r="AM84" s="32">
        <f t="shared" si="15"/>
        <v>0</v>
      </c>
      <c r="AN84" s="32">
        <f t="shared" si="15"/>
        <v>2700000</v>
      </c>
      <c r="AO84" s="32">
        <f t="shared" si="15"/>
        <v>2684000</v>
      </c>
      <c r="AP84" s="32">
        <f t="shared" si="15"/>
        <v>600000</v>
      </c>
      <c r="AQ84" s="32">
        <f>SUM(AQ50:AQ83)</f>
        <v>3259900</v>
      </c>
      <c r="AR84" s="32">
        <f>SUM(AR50:AR83)</f>
        <v>51422848</v>
      </c>
      <c r="AS84" s="32">
        <f>SUM(AS50:AS83)</f>
        <v>0</v>
      </c>
      <c r="AT84" s="32">
        <f>SUM(AT50:AT83)</f>
        <v>0</v>
      </c>
      <c r="AU84" s="32">
        <f t="shared" ref="AU84:BQ84" si="16">SUM(AU50:AU83)</f>
        <v>0</v>
      </c>
      <c r="AV84" s="32">
        <f t="shared" si="16"/>
        <v>33313000</v>
      </c>
      <c r="AW84" s="32">
        <f t="shared" si="16"/>
        <v>0</v>
      </c>
      <c r="AX84" s="32">
        <f t="shared" si="16"/>
        <v>0</v>
      </c>
      <c r="AY84" s="32">
        <f t="shared" si="16"/>
        <v>0</v>
      </c>
      <c r="AZ84" s="32">
        <f t="shared" si="16"/>
        <v>0</v>
      </c>
      <c r="BA84" s="32">
        <f t="shared" si="16"/>
        <v>0</v>
      </c>
      <c r="BB84" s="32">
        <f t="shared" si="16"/>
        <v>0</v>
      </c>
      <c r="BC84" s="32">
        <f t="shared" si="16"/>
        <v>0</v>
      </c>
      <c r="BD84" s="32">
        <f t="shared" si="16"/>
        <v>0</v>
      </c>
      <c r="BE84" s="32">
        <f t="shared" si="16"/>
        <v>0</v>
      </c>
      <c r="BF84" s="32">
        <f t="shared" ref="BF84:BO84" si="17">SUM(BF50:BF83)</f>
        <v>120610</v>
      </c>
      <c r="BG84" s="32">
        <f t="shared" si="17"/>
        <v>0</v>
      </c>
      <c r="BH84" s="32">
        <f t="shared" si="17"/>
        <v>0</v>
      </c>
      <c r="BI84" s="32"/>
      <c r="BJ84" s="32">
        <f t="shared" si="17"/>
        <v>0</v>
      </c>
      <c r="BK84" s="32">
        <f t="shared" si="17"/>
        <v>0</v>
      </c>
      <c r="BL84" s="32"/>
      <c r="BM84" s="32"/>
      <c r="BN84" s="32">
        <f t="shared" si="17"/>
        <v>0</v>
      </c>
      <c r="BO84" s="32">
        <f t="shared" si="17"/>
        <v>0</v>
      </c>
      <c r="BP84" s="32">
        <f t="shared" si="16"/>
        <v>0</v>
      </c>
      <c r="BQ84" s="32">
        <f t="shared" si="16"/>
        <v>0</v>
      </c>
      <c r="BR84" s="32"/>
      <c r="BS84" s="32">
        <f>SUM(BS50:BS83)</f>
        <v>0</v>
      </c>
      <c r="BT84" s="32"/>
      <c r="BU84" s="32">
        <f>SUM(BU50:BU83)</f>
        <v>0</v>
      </c>
      <c r="BV84" s="32">
        <f>SUM(BV50:BV83)</f>
        <v>0</v>
      </c>
      <c r="BW84" s="31">
        <f t="shared" si="12"/>
        <v>33433610</v>
      </c>
    </row>
    <row r="85" spans="1:75" ht="74.25" customHeight="1" x14ac:dyDescent="0.8">
      <c r="A85" s="14" t="s">
        <v>171</v>
      </c>
      <c r="B85" s="15" t="s">
        <v>119</v>
      </c>
      <c r="C85" s="32"/>
      <c r="D85" s="32"/>
      <c r="E85" s="32"/>
      <c r="F85" s="32"/>
      <c r="G85" s="32"/>
      <c r="H85" s="32"/>
      <c r="I85" s="32"/>
      <c r="J85" s="32"/>
      <c r="K85" s="32"/>
      <c r="L85" s="32"/>
      <c r="M85" s="32"/>
      <c r="N85" s="32"/>
      <c r="O85" s="32"/>
      <c r="P85" s="31">
        <f t="shared" si="13"/>
        <v>0</v>
      </c>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1">
        <f t="shared" si="14"/>
        <v>0</v>
      </c>
      <c r="AS85" s="32"/>
      <c r="AT85" s="32">
        <v>5048500</v>
      </c>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1">
        <f t="shared" si="12"/>
        <v>5048500</v>
      </c>
    </row>
    <row r="86" spans="1:75" ht="119.25" customHeight="1" x14ac:dyDescent="0.8">
      <c r="A86" s="14">
        <v>11100000000</v>
      </c>
      <c r="B86" s="15" t="s">
        <v>90</v>
      </c>
      <c r="C86" s="32"/>
      <c r="D86" s="32"/>
      <c r="E86" s="32"/>
      <c r="F86" s="32"/>
      <c r="G86" s="32"/>
      <c r="H86" s="32"/>
      <c r="I86" s="32"/>
      <c r="J86" s="32"/>
      <c r="K86" s="32"/>
      <c r="L86" s="32"/>
      <c r="M86" s="32"/>
      <c r="N86" s="32"/>
      <c r="O86" s="32"/>
      <c r="P86" s="31">
        <f t="shared" si="13"/>
        <v>0</v>
      </c>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1">
        <f t="shared" si="14"/>
        <v>0</v>
      </c>
      <c r="AS86" s="32"/>
      <c r="AT86" s="32"/>
      <c r="AU86" s="32">
        <v>238000</v>
      </c>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1">
        <f t="shared" si="12"/>
        <v>238000</v>
      </c>
    </row>
    <row r="87" spans="1:75" s="16" customFormat="1" ht="74.25" customHeight="1" x14ac:dyDescent="0.8">
      <c r="A87" s="14" t="s">
        <v>11</v>
      </c>
      <c r="B87" s="15" t="s">
        <v>12</v>
      </c>
      <c r="C87" s="32"/>
      <c r="D87" s="32"/>
      <c r="E87" s="32"/>
      <c r="F87" s="32"/>
      <c r="G87" s="31"/>
      <c r="H87" s="31">
        <v>6764920</v>
      </c>
      <c r="I87" s="31"/>
      <c r="J87" s="31">
        <f>38468000-15963435.75-510891.69-17990048.31-1125844.41</f>
        <v>2877779.84</v>
      </c>
      <c r="K87" s="31"/>
      <c r="L87" s="31"/>
      <c r="M87" s="31"/>
      <c r="N87" s="31"/>
      <c r="O87" s="31"/>
      <c r="P87" s="31">
        <f t="shared" si="13"/>
        <v>0</v>
      </c>
      <c r="Q87" s="31"/>
      <c r="R87" s="31"/>
      <c r="S87" s="31"/>
      <c r="T87" s="31"/>
      <c r="U87" s="31"/>
      <c r="V87" s="31"/>
      <c r="W87" s="31"/>
      <c r="X87" s="31"/>
      <c r="Y87" s="31"/>
      <c r="Z87" s="31">
        <f>12817681-10929686-1699377+333922</f>
        <v>522540</v>
      </c>
      <c r="AA87" s="31">
        <f>89760000</f>
        <v>89760000</v>
      </c>
      <c r="AB87" s="31"/>
      <c r="AC87" s="31"/>
      <c r="AD87" s="31"/>
      <c r="AE87" s="31"/>
      <c r="AF87" s="31"/>
      <c r="AG87" s="31"/>
      <c r="AH87" s="31"/>
      <c r="AI87" s="31"/>
      <c r="AJ87" s="31">
        <v>5000000</v>
      </c>
      <c r="AK87" s="31"/>
      <c r="AL87" s="31">
        <v>2000000</v>
      </c>
      <c r="AM87" s="31">
        <f>2000000-2000000</f>
        <v>0</v>
      </c>
      <c r="AN87" s="31">
        <f>10000000-5000000-5000000</f>
        <v>0</v>
      </c>
      <c r="AO87" s="31">
        <f>5000000-225402.8+80000-4854590</f>
        <v>7.2000000001862645</v>
      </c>
      <c r="AP87" s="31"/>
      <c r="AQ87" s="31"/>
      <c r="AR87" s="31">
        <f t="shared" si="14"/>
        <v>106925247.04000001</v>
      </c>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f t="shared" si="12"/>
        <v>0</v>
      </c>
    </row>
    <row r="88" spans="1:75" s="16" customFormat="1" ht="74.25" customHeight="1" x14ac:dyDescent="0.8">
      <c r="A88" s="14"/>
      <c r="B88" s="15" t="s">
        <v>13</v>
      </c>
      <c r="C88" s="32">
        <v>453342000</v>
      </c>
      <c r="D88" s="32"/>
      <c r="E88" s="32"/>
      <c r="F88" s="32"/>
      <c r="G88" s="31"/>
      <c r="H88" s="31"/>
      <c r="I88" s="31"/>
      <c r="J88" s="31"/>
      <c r="K88" s="31"/>
      <c r="L88" s="31"/>
      <c r="M88" s="31"/>
      <c r="N88" s="31"/>
      <c r="O88" s="31"/>
      <c r="P88" s="31">
        <f t="shared" si="13"/>
        <v>0</v>
      </c>
      <c r="Q88" s="31"/>
      <c r="R88" s="31"/>
      <c r="S88" s="31"/>
      <c r="T88" s="31"/>
      <c r="U88" s="31"/>
      <c r="V88" s="31"/>
      <c r="W88" s="31"/>
      <c r="X88" s="31"/>
      <c r="Y88" s="31"/>
      <c r="Z88" s="31"/>
      <c r="AA88" s="31"/>
      <c r="AB88" s="31">
        <v>5500000</v>
      </c>
      <c r="AC88" s="31">
        <v>800000</v>
      </c>
      <c r="AD88" s="31">
        <f>6000000+1015900+111000+200000</f>
        <v>7326900</v>
      </c>
      <c r="AE88" s="31">
        <f>153250700+120773180+40534700</f>
        <v>314558580</v>
      </c>
      <c r="AF88" s="31">
        <f>456400+3139900+9705200</f>
        <v>13301500</v>
      </c>
      <c r="AG88" s="31">
        <f>4500000+13000000</f>
        <v>17500000</v>
      </c>
      <c r="AH88" s="31">
        <v>1500000</v>
      </c>
      <c r="AI88" s="31">
        <f>4000000-1015900-111000-200000</f>
        <v>2673100</v>
      </c>
      <c r="AJ88" s="31"/>
      <c r="AK88" s="31"/>
      <c r="AL88" s="31"/>
      <c r="AM88" s="31"/>
      <c r="AN88" s="31"/>
      <c r="AO88" s="31"/>
      <c r="AP88" s="31"/>
      <c r="AQ88" s="31"/>
      <c r="AR88" s="31">
        <f>SUM(C88:AQ88)-N88-O88-Q88-R88-S88-T88-U88-W88-M88-L88-V88</f>
        <v>816502080</v>
      </c>
      <c r="AS88" s="31"/>
      <c r="AT88" s="31">
        <v>1945059300</v>
      </c>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f t="shared" si="12"/>
        <v>1945059300</v>
      </c>
    </row>
    <row r="89" spans="1:75" s="17" customFormat="1" ht="74.25" customHeight="1" x14ac:dyDescent="0.8">
      <c r="A89" s="14"/>
      <c r="B89" s="15" t="s">
        <v>260</v>
      </c>
      <c r="C89" s="31">
        <f t="shared" ref="C89:AP89" si="18">C25+C48+C87+C88+C84+C85+C86</f>
        <v>453342000</v>
      </c>
      <c r="D89" s="31">
        <f t="shared" si="18"/>
        <v>3982944100</v>
      </c>
      <c r="E89" s="31">
        <f t="shared" si="18"/>
        <v>2975725400</v>
      </c>
      <c r="F89" s="31">
        <f t="shared" si="18"/>
        <v>42557700</v>
      </c>
      <c r="G89" s="31">
        <f t="shared" si="18"/>
        <v>105093300</v>
      </c>
      <c r="H89" s="31">
        <f>H25+H48+H87+H88+H84+H85+H86</f>
        <v>6764920</v>
      </c>
      <c r="I89" s="31">
        <f>I25+I48+I87+I88+I84+I85+I86</f>
        <v>6018155</v>
      </c>
      <c r="J89" s="31">
        <f t="shared" si="18"/>
        <v>38468000</v>
      </c>
      <c r="K89" s="31">
        <f t="shared" si="18"/>
        <v>345300</v>
      </c>
      <c r="L89" s="31">
        <f>L25+L48+L87+L88+L84+L85+L86</f>
        <v>202200</v>
      </c>
      <c r="M89" s="31">
        <f>M25+M48+M87+M88+M84+M85+M86</f>
        <v>1900</v>
      </c>
      <c r="N89" s="31">
        <f t="shared" si="18"/>
        <v>141000</v>
      </c>
      <c r="O89" s="31">
        <f t="shared" si="18"/>
        <v>200</v>
      </c>
      <c r="P89" s="31">
        <f>P25+P48+P87+P88+P84+P85+P86</f>
        <v>95722016</v>
      </c>
      <c r="Q89" s="31">
        <f t="shared" si="18"/>
        <v>300000</v>
      </c>
      <c r="R89" s="31">
        <f t="shared" si="18"/>
        <v>12598942</v>
      </c>
      <c r="S89" s="31">
        <f t="shared" si="18"/>
        <v>4603458</v>
      </c>
      <c r="T89" s="31">
        <f>T25+T48+T87+T88+T84+T85+T86</f>
        <v>18750000</v>
      </c>
      <c r="U89" s="31">
        <f t="shared" si="18"/>
        <v>32500400</v>
      </c>
      <c r="V89" s="31">
        <f t="shared" ca="1" si="18"/>
        <v>325416</v>
      </c>
      <c r="W89" s="31">
        <f t="shared" si="18"/>
        <v>26643800</v>
      </c>
      <c r="X89" s="31">
        <f t="shared" si="18"/>
        <v>36493100</v>
      </c>
      <c r="Y89" s="31">
        <f t="shared" si="18"/>
        <v>41755300</v>
      </c>
      <c r="Z89" s="31">
        <f t="shared" si="18"/>
        <v>12817681</v>
      </c>
      <c r="AA89" s="31">
        <f t="shared" si="18"/>
        <v>89760000</v>
      </c>
      <c r="AB89" s="31">
        <f t="shared" si="18"/>
        <v>5500000</v>
      </c>
      <c r="AC89" s="31">
        <f t="shared" si="18"/>
        <v>800000</v>
      </c>
      <c r="AD89" s="31">
        <f t="shared" si="18"/>
        <v>7326900</v>
      </c>
      <c r="AE89" s="31">
        <f t="shared" si="18"/>
        <v>314558580</v>
      </c>
      <c r="AF89" s="31">
        <f t="shared" si="18"/>
        <v>13301500</v>
      </c>
      <c r="AG89" s="31">
        <f t="shared" si="18"/>
        <v>17500000</v>
      </c>
      <c r="AH89" s="31">
        <f t="shared" si="18"/>
        <v>1500000</v>
      </c>
      <c r="AI89" s="31">
        <f t="shared" si="18"/>
        <v>2673100</v>
      </c>
      <c r="AJ89" s="31">
        <f t="shared" si="18"/>
        <v>26500000</v>
      </c>
      <c r="AK89" s="31">
        <f t="shared" si="18"/>
        <v>60000000</v>
      </c>
      <c r="AL89" s="31">
        <f t="shared" si="18"/>
        <v>2000000</v>
      </c>
      <c r="AM89" s="31">
        <f t="shared" si="18"/>
        <v>4116000</v>
      </c>
      <c r="AN89" s="31">
        <f t="shared" si="18"/>
        <v>6000000</v>
      </c>
      <c r="AO89" s="31">
        <f>AO25+AO48+AO87+AO88+AO84+AO85+AO86</f>
        <v>11000000</v>
      </c>
      <c r="AP89" s="31">
        <f t="shared" si="18"/>
        <v>2500000</v>
      </c>
      <c r="AQ89" s="31">
        <f>AQ25+AQ48+AQ87+AQ88+AQ84+AQ85+AQ86</f>
        <v>18400706</v>
      </c>
      <c r="AR89" s="31">
        <f>AR25+AR48+AR87+AR88+AR84+AR85+AR86</f>
        <v>8381483758.000001</v>
      </c>
      <c r="AS89" s="31">
        <f t="shared" ref="AS89:BV89" si="19">AS25+AS48+AS87+AS88+AS84+AS85+AS86</f>
        <v>0</v>
      </c>
      <c r="AT89" s="31">
        <f t="shared" si="19"/>
        <v>1950107800</v>
      </c>
      <c r="AU89" s="31">
        <f t="shared" si="19"/>
        <v>470676</v>
      </c>
      <c r="AV89" s="31">
        <f t="shared" si="19"/>
        <v>64962271</v>
      </c>
      <c r="AW89" s="31">
        <f t="shared" si="19"/>
        <v>0</v>
      </c>
      <c r="AX89" s="31">
        <f t="shared" si="19"/>
        <v>0</v>
      </c>
      <c r="AY89" s="31">
        <f t="shared" si="19"/>
        <v>0</v>
      </c>
      <c r="AZ89" s="31">
        <f t="shared" si="19"/>
        <v>0</v>
      </c>
      <c r="BA89" s="31">
        <f t="shared" si="19"/>
        <v>0</v>
      </c>
      <c r="BB89" s="31">
        <f t="shared" si="19"/>
        <v>0</v>
      </c>
      <c r="BC89" s="31">
        <f t="shared" si="19"/>
        <v>0</v>
      </c>
      <c r="BD89" s="31">
        <f t="shared" si="19"/>
        <v>0</v>
      </c>
      <c r="BE89" s="31">
        <f t="shared" si="19"/>
        <v>0</v>
      </c>
      <c r="BF89" s="31">
        <f>BF25+BF48+BF87+BF88+BF84+BF85+BF86</f>
        <v>1148010</v>
      </c>
      <c r="BG89" s="31">
        <f t="shared" si="19"/>
        <v>55772</v>
      </c>
      <c r="BH89" s="31">
        <f>BH25+BH48+BH87+BH88+BH84+BH85+BH86</f>
        <v>2504261</v>
      </c>
      <c r="BI89" s="31">
        <f>BI25+BI48+BI87+BI88+BI84+BI85+BI86</f>
        <v>272300</v>
      </c>
      <c r="BJ89" s="31">
        <f t="shared" si="19"/>
        <v>1891910</v>
      </c>
      <c r="BK89" s="31">
        <f>BK25+BK48+BK87+BK88+BK84+BK85+BK86</f>
        <v>1350000</v>
      </c>
      <c r="BL89" s="31">
        <v>11660100</v>
      </c>
      <c r="BM89" s="31">
        <v>11660100</v>
      </c>
      <c r="BN89" s="31">
        <f>BN25+BN48+BN87+BN88+BN84+BN85+BN86</f>
        <v>2150000</v>
      </c>
      <c r="BO89" s="31">
        <f>BO25+BO48+BO87+BO88+BO84+BO85+BO86</f>
        <v>3011000</v>
      </c>
      <c r="BP89" s="31">
        <f t="shared" si="19"/>
        <v>476642</v>
      </c>
      <c r="BQ89" s="31">
        <f t="shared" si="19"/>
        <v>40000</v>
      </c>
      <c r="BR89" s="31">
        <f t="shared" si="19"/>
        <v>727700</v>
      </c>
      <c r="BS89" s="31">
        <f t="shared" si="19"/>
        <v>40000000</v>
      </c>
      <c r="BT89" s="31">
        <v>5000000</v>
      </c>
      <c r="BU89" s="31">
        <f t="shared" si="19"/>
        <v>866851</v>
      </c>
      <c r="BV89" s="31">
        <f t="shared" si="19"/>
        <v>11500000</v>
      </c>
      <c r="BW89" s="31">
        <f t="shared" si="12"/>
        <v>2098195293</v>
      </c>
    </row>
    <row r="90" spans="1:75" s="22" customFormat="1" ht="36" customHeight="1" x14ac:dyDescent="0.8">
      <c r="A90" s="18"/>
      <c r="B90" s="19"/>
      <c r="C90" s="19"/>
      <c r="D90" s="21"/>
      <c r="E90" s="21"/>
      <c r="F90" s="21"/>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row>
    <row r="91" spans="1:75" s="22" customFormat="1" ht="59.25" x14ac:dyDescent="0.8">
      <c r="A91" s="18"/>
      <c r="B91" s="19"/>
      <c r="C91" s="19"/>
      <c r="D91" s="21"/>
      <c r="E91" s="21"/>
      <c r="F91" s="21"/>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row>
    <row r="92" spans="1:75" s="25" customFormat="1" ht="81.75" customHeight="1" x14ac:dyDescent="1.05">
      <c r="A92" s="23"/>
      <c r="B92" s="23"/>
      <c r="C92" s="23"/>
      <c r="D92" s="24"/>
      <c r="E92" s="24"/>
      <c r="F92" s="24"/>
      <c r="X92" s="28"/>
      <c r="Y92" s="28"/>
      <c r="Z92" s="28"/>
      <c r="AA92" s="28"/>
      <c r="AB92" s="28"/>
      <c r="AC92" s="28"/>
      <c r="AD92" s="28"/>
      <c r="AE92" s="28"/>
      <c r="AF92" s="28"/>
      <c r="AG92" s="28"/>
      <c r="AH92" s="28"/>
      <c r="AI92" s="28"/>
      <c r="AK92" s="28"/>
      <c r="AL92" s="28"/>
      <c r="AM92" s="29"/>
      <c r="AQ92" s="29"/>
      <c r="AT92" s="28"/>
      <c r="AU92" s="28"/>
      <c r="AV92" s="28"/>
      <c r="BJ92" s="51"/>
      <c r="BK92" s="51"/>
      <c r="BL92" s="51"/>
      <c r="BM92" s="51"/>
      <c r="BN92" s="51"/>
      <c r="BO92" s="51"/>
      <c r="BP92" s="51"/>
      <c r="BQ92" s="38"/>
      <c r="BR92" s="38"/>
      <c r="BS92" s="47" t="s">
        <v>128</v>
      </c>
      <c r="BT92" s="47"/>
      <c r="BU92" s="47"/>
      <c r="BV92" s="47"/>
      <c r="BW92" s="46" t="s">
        <v>242</v>
      </c>
    </row>
    <row r="93" spans="1:75" x14ac:dyDescent="0.2">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row>
    <row r="94" spans="1:75" x14ac:dyDescent="0.2">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row>
    <row r="95" spans="1:75" x14ac:dyDescent="0.2">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row>
    <row r="96" spans="1:75" x14ac:dyDescent="0.2">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row>
    <row r="97" spans="7:35" x14ac:dyDescent="0.2">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row>
    <row r="98" spans="7:35" x14ac:dyDescent="0.2">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row>
    <row r="99" spans="7:35" x14ac:dyDescent="0.2">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row>
    <row r="100" spans="7:35" x14ac:dyDescent="0.2">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row>
    <row r="101" spans="7:35" x14ac:dyDescent="0.2">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row>
    <row r="102" spans="7:35" x14ac:dyDescent="0.2">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row>
    <row r="103" spans="7:35" x14ac:dyDescent="0.2">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row>
    <row r="104" spans="7:35" x14ac:dyDescent="0.2">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row>
    <row r="105" spans="7:35" x14ac:dyDescent="0.2">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row>
    <row r="106" spans="7:35" x14ac:dyDescent="0.2">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row>
    <row r="107" spans="7:35" x14ac:dyDescent="0.2">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row>
    <row r="108" spans="7:35" x14ac:dyDescent="0.2">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row>
    <row r="109" spans="7:35" x14ac:dyDescent="0.2">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row>
    <row r="110" spans="7:35" x14ac:dyDescent="0.2">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row>
    <row r="111" spans="7:35" x14ac:dyDescent="0.2">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row>
    <row r="112" spans="7:35" x14ac:dyDescent="0.2">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row>
    <row r="113" spans="7:35" x14ac:dyDescent="0.2">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row>
    <row r="114" spans="7:35" x14ac:dyDescent="0.2">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row>
    <row r="115" spans="7:35" x14ac:dyDescent="0.2">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row>
    <row r="116" spans="7:35" x14ac:dyDescent="0.2">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row>
    <row r="117" spans="7:35" x14ac:dyDescent="0.2">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row>
    <row r="118" spans="7:35" x14ac:dyDescent="0.2">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row>
    <row r="119" spans="7:35" x14ac:dyDescent="0.2">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row>
    <row r="120" spans="7:35" x14ac:dyDescent="0.2">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row>
    <row r="121" spans="7:35" x14ac:dyDescent="0.2">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row>
    <row r="122" spans="7:35" x14ac:dyDescent="0.2">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row>
    <row r="123" spans="7:35" x14ac:dyDescent="0.2">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row>
    <row r="124" spans="7:35" x14ac:dyDescent="0.2">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row>
    <row r="125" spans="7:35" x14ac:dyDescent="0.2">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row>
    <row r="126" spans="7:35" x14ac:dyDescent="0.2">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row>
    <row r="127" spans="7:35" x14ac:dyDescent="0.2">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row>
    <row r="128" spans="7:35" x14ac:dyDescent="0.2">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row>
    <row r="129" spans="7:35" x14ac:dyDescent="0.2">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row>
    <row r="130" spans="7:35" x14ac:dyDescent="0.2">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row>
    <row r="131" spans="7:35" x14ac:dyDescent="0.2">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row>
    <row r="132" spans="7:35" x14ac:dyDescent="0.2">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row>
    <row r="133" spans="7:35" x14ac:dyDescent="0.2">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row>
    <row r="134" spans="7:35" x14ac:dyDescent="0.2">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row>
    <row r="135" spans="7:35" x14ac:dyDescent="0.2">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row>
    <row r="136" spans="7:35" x14ac:dyDescent="0.2">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row>
    <row r="137" spans="7:35" x14ac:dyDescent="0.2">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row>
    <row r="138" spans="7:35" x14ac:dyDescent="0.2">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row>
    <row r="139" spans="7:35" x14ac:dyDescent="0.2">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row>
    <row r="140" spans="7:35" x14ac:dyDescent="0.2">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row>
    <row r="141" spans="7:35" x14ac:dyDescent="0.2">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row>
    <row r="142" spans="7:35" x14ac:dyDescent="0.2">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row>
    <row r="143" spans="7:35" x14ac:dyDescent="0.2">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row>
    <row r="144" spans="7:35" x14ac:dyDescent="0.2">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row>
    <row r="145" spans="7:35" x14ac:dyDescent="0.2">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row>
    <row r="146" spans="7:35" x14ac:dyDescent="0.2">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row>
    <row r="147" spans="7:35" x14ac:dyDescent="0.2">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row>
    <row r="148" spans="7:35" x14ac:dyDescent="0.2">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row>
    <row r="149" spans="7:35" x14ac:dyDescent="0.2">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row>
    <row r="150" spans="7:35" x14ac:dyDescent="0.2">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row>
    <row r="151" spans="7:35" x14ac:dyDescent="0.2">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row>
    <row r="152" spans="7:35" x14ac:dyDescent="0.2">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row>
    <row r="153" spans="7:35" x14ac:dyDescent="0.2">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row>
    <row r="154" spans="7:35" x14ac:dyDescent="0.2">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row>
    <row r="155" spans="7:35" x14ac:dyDescent="0.2">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row>
    <row r="156" spans="7:35" x14ac:dyDescent="0.2">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row>
    <row r="157" spans="7:35" x14ac:dyDescent="0.2">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row>
    <row r="158" spans="7:35" x14ac:dyDescent="0.2">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row>
    <row r="159" spans="7:35" x14ac:dyDescent="0.2">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row>
    <row r="160" spans="7:35" x14ac:dyDescent="0.2">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row>
    <row r="161" spans="7:35" x14ac:dyDescent="0.2">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row>
    <row r="162" spans="7:35" x14ac:dyDescent="0.2">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row>
    <row r="163" spans="7:35" x14ac:dyDescent="0.2">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row>
    <row r="164" spans="7:35" x14ac:dyDescent="0.2">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row>
    <row r="165" spans="7:35" x14ac:dyDescent="0.2">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row>
    <row r="166" spans="7:35" x14ac:dyDescent="0.2">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row>
    <row r="167" spans="7:35" x14ac:dyDescent="0.2">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row>
    <row r="168" spans="7:35" x14ac:dyDescent="0.2">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row>
    <row r="169" spans="7:35" x14ac:dyDescent="0.2">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row>
    <row r="170" spans="7:35" x14ac:dyDescent="0.2">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row>
    <row r="171" spans="7:35" x14ac:dyDescent="0.2">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row>
    <row r="172" spans="7:35" x14ac:dyDescent="0.2">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row>
    <row r="173" spans="7:35" x14ac:dyDescent="0.2">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row>
    <row r="174" spans="7:35" x14ac:dyDescent="0.2">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row>
    <row r="175" spans="7:35" x14ac:dyDescent="0.2">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row>
    <row r="176" spans="7:35" x14ac:dyDescent="0.2">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row>
    <row r="177" spans="7:35" x14ac:dyDescent="0.2">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row>
    <row r="178" spans="7:35" x14ac:dyDescent="0.2">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row>
    <row r="179" spans="7:35" x14ac:dyDescent="0.2">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row>
    <row r="180" spans="7:35" x14ac:dyDescent="0.2">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row>
    <row r="181" spans="7:35" x14ac:dyDescent="0.2">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row>
    <row r="182" spans="7:35" x14ac:dyDescent="0.2">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row>
    <row r="183" spans="7:35" x14ac:dyDescent="0.2">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row>
    <row r="184" spans="7:35" x14ac:dyDescent="0.2">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row>
    <row r="185" spans="7:35" x14ac:dyDescent="0.2">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row>
    <row r="186" spans="7:35" x14ac:dyDescent="0.2">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row>
    <row r="187" spans="7:35" x14ac:dyDescent="0.2">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row>
    <row r="188" spans="7:35" x14ac:dyDescent="0.2">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row>
    <row r="189" spans="7:35" x14ac:dyDescent="0.2">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row>
    <row r="190" spans="7:35" x14ac:dyDescent="0.2">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row>
    <row r="191" spans="7:35" x14ac:dyDescent="0.2">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row>
    <row r="192" spans="7:35" x14ac:dyDescent="0.2">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row>
    <row r="193" spans="7:35" x14ac:dyDescent="0.2">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row>
    <row r="194" spans="7:35" x14ac:dyDescent="0.2">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row>
    <row r="195" spans="7:35" x14ac:dyDescent="0.2">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row>
    <row r="196" spans="7:35" x14ac:dyDescent="0.2">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row>
    <row r="197" spans="7:35" x14ac:dyDescent="0.2">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row>
    <row r="198" spans="7:35" x14ac:dyDescent="0.2">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row>
    <row r="199" spans="7:35" x14ac:dyDescent="0.2">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row>
  </sheetData>
  <sheetProtection selectLockedCells="1" selectUnlockedCells="1"/>
  <mergeCells count="137">
    <mergeCell ref="AJ9:AJ11"/>
    <mergeCell ref="Q10:Q11"/>
    <mergeCell ref="W10:W11"/>
    <mergeCell ref="P6:V6"/>
    <mergeCell ref="P7:V7"/>
    <mergeCell ref="V10:V11"/>
    <mergeCell ref="X6:Z6"/>
    <mergeCell ref="X7:AA7"/>
    <mergeCell ref="P9:P11"/>
    <mergeCell ref="AH7:AI7"/>
    <mergeCell ref="K8:O8"/>
    <mergeCell ref="BQ9:BQ11"/>
    <mergeCell ref="BO8:BR8"/>
    <mergeCell ref="AA9:AA11"/>
    <mergeCell ref="Y9:Y11"/>
    <mergeCell ref="Z9:Z11"/>
    <mergeCell ref="BK9:BK11"/>
    <mergeCell ref="BE9:BE11"/>
    <mergeCell ref="X9:X11"/>
    <mergeCell ref="U10:U11"/>
    <mergeCell ref="BS9:BS11"/>
    <mergeCell ref="BV9:BV11"/>
    <mergeCell ref="BF9:BF11"/>
    <mergeCell ref="BG9:BG11"/>
    <mergeCell ref="BH9:BH11"/>
    <mergeCell ref="BU9:BU11"/>
    <mergeCell ref="BO9:BO11"/>
    <mergeCell ref="BM10:BM11"/>
    <mergeCell ref="BJ9:BJ11"/>
    <mergeCell ref="BN9:BN11"/>
    <mergeCell ref="C3:F3"/>
    <mergeCell ref="E9:E11"/>
    <mergeCell ref="A5:A11"/>
    <mergeCell ref="B5:B11"/>
    <mergeCell ref="D9:D11"/>
    <mergeCell ref="C9:C11"/>
    <mergeCell ref="D7:F7"/>
    <mergeCell ref="C6:F6"/>
    <mergeCell ref="D5:F5"/>
    <mergeCell ref="F9:F11"/>
    <mergeCell ref="AB5:AG5"/>
    <mergeCell ref="I9:I11"/>
    <mergeCell ref="O10:O11"/>
    <mergeCell ref="K9:K11"/>
    <mergeCell ref="R10:R11"/>
    <mergeCell ref="S10:S11"/>
    <mergeCell ref="T10:T11"/>
    <mergeCell ref="P8:W8"/>
    <mergeCell ref="Q9:W9"/>
    <mergeCell ref="AB6:AD6"/>
    <mergeCell ref="G9:G11"/>
    <mergeCell ref="N10:N11"/>
    <mergeCell ref="H9:H11"/>
    <mergeCell ref="J9:J11"/>
    <mergeCell ref="L9:O9"/>
    <mergeCell ref="L10:L11"/>
    <mergeCell ref="M10:M11"/>
    <mergeCell ref="AH5:AI5"/>
    <mergeCell ref="BW5:BW11"/>
    <mergeCell ref="AW6:AY6"/>
    <mergeCell ref="AZ6:BE6"/>
    <mergeCell ref="AW7:AY7"/>
    <mergeCell ref="AZ7:BE7"/>
    <mergeCell ref="BC9:BC11"/>
    <mergeCell ref="BD9:BD11"/>
    <mergeCell ref="AW9:AW11"/>
    <mergeCell ref="AW8:AY8"/>
    <mergeCell ref="AR5:AR11"/>
    <mergeCell ref="AY9:AY11"/>
    <mergeCell ref="AZ8:BE8"/>
    <mergeCell ref="AZ9:AZ11"/>
    <mergeCell ref="AS9:AS11"/>
    <mergeCell ref="AT7:AU7"/>
    <mergeCell ref="AH9:AH11"/>
    <mergeCell ref="AB9:AB11"/>
    <mergeCell ref="AC9:AC11"/>
    <mergeCell ref="AE8:AF8"/>
    <mergeCell ref="AG9:AG11"/>
    <mergeCell ref="AE9:AE11"/>
    <mergeCell ref="AD9:AD11"/>
    <mergeCell ref="AF9:AF11"/>
    <mergeCell ref="AI9:AI11"/>
    <mergeCell ref="AM5:AQ5"/>
    <mergeCell ref="BF5:BH5"/>
    <mergeCell ref="BF6:BH6"/>
    <mergeCell ref="BF8:BH8"/>
    <mergeCell ref="AN6:AQ6"/>
    <mergeCell ref="AT6:AU6"/>
    <mergeCell ref="AT5:AV5"/>
    <mergeCell ref="BF7:BH7"/>
    <mergeCell ref="AZ5:BE5"/>
    <mergeCell ref="AJ6:AL6"/>
    <mergeCell ref="AN9:AN11"/>
    <mergeCell ref="AO9:AO11"/>
    <mergeCell ref="AK9:AK11"/>
    <mergeCell ref="AK7:AL7"/>
    <mergeCell ref="AM7:AQ7"/>
    <mergeCell ref="AM9:AM11"/>
    <mergeCell ref="AQ9:AQ11"/>
    <mergeCell ref="AP9:AP11"/>
    <mergeCell ref="AL9:AL11"/>
    <mergeCell ref="BJ92:BP92"/>
    <mergeCell ref="BP9:BP11"/>
    <mergeCell ref="AX9:AX11"/>
    <mergeCell ref="AT9:AT11"/>
    <mergeCell ref="AU9:AU11"/>
    <mergeCell ref="AV9:AV11"/>
    <mergeCell ref="BL9:BL11"/>
    <mergeCell ref="BI9:BI11"/>
    <mergeCell ref="BA9:BA11"/>
    <mergeCell ref="BB9:BB11"/>
    <mergeCell ref="G6:J6"/>
    <mergeCell ref="G5:J5"/>
    <mergeCell ref="K7:O7"/>
    <mergeCell ref="K6:O6"/>
    <mergeCell ref="K5:O5"/>
    <mergeCell ref="H7:J7"/>
    <mergeCell ref="P5:W5"/>
    <mergeCell ref="X5:AA5"/>
    <mergeCell ref="BI8:BN8"/>
    <mergeCell ref="BI7:BN7"/>
    <mergeCell ref="BI6:BN6"/>
    <mergeCell ref="BI5:BN5"/>
    <mergeCell ref="AB7:AG7"/>
    <mergeCell ref="AH6:AI6"/>
    <mergeCell ref="AE6:AG6"/>
    <mergeCell ref="AJ5:AL5"/>
    <mergeCell ref="BS92:BV92"/>
    <mergeCell ref="BO7:BR7"/>
    <mergeCell ref="BO6:BR6"/>
    <mergeCell ref="BO5:BR5"/>
    <mergeCell ref="BS8:BV8"/>
    <mergeCell ref="BS7:BV7"/>
    <mergeCell ref="BS6:BV6"/>
    <mergeCell ref="BS5:BV5"/>
    <mergeCell ref="BT9:BT11"/>
    <mergeCell ref="BR9:BR11"/>
  </mergeCells>
  <phoneticPr fontId="0" type="noConversion"/>
  <printOptions horizontalCentered="1"/>
  <pageMargins left="0.98425196850393704" right="0.39370078740157483" top="0.59055118110236227" bottom="1.0629921259842521" header="0.39370078740157483" footer="0.51181102362204722"/>
  <pageSetup paperSize="9" scale="10" firstPageNumber="0" orientation="portrait" horizontalDpi="300" verticalDpi="300" r:id="rId1"/>
  <headerFooter differentFirst="1" alignWithMargins="0">
    <oddHeader>&amp;C&amp;"Times New Roman,обычный"&amp;54&amp;P</oddHeader>
  </headerFooter>
  <colBreaks count="8" manualBreakCount="8">
    <brk id="10" max="91" man="1"/>
    <brk id="15" max="91" man="1"/>
    <brk id="23" max="91" man="1"/>
    <brk id="27" max="91" man="1"/>
    <brk id="33" max="91" man="1"/>
    <brk id="38" max="91" man="1"/>
    <brk id="45" max="91" man="1"/>
    <brk id="70" max="9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4</vt:lpstr>
      <vt:lpstr>'Дод 4'!Заголовки_для_печати</vt:lpstr>
      <vt:lpstr>'Дод 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2017-07-14T09:10:44Z</cp:lastPrinted>
  <dcterms:created xsi:type="dcterms:W3CDTF">2015-09-22T09:14:37Z</dcterms:created>
  <dcterms:modified xsi:type="dcterms:W3CDTF">2017-07-18T07:57:34Z</dcterms:modified>
</cp:coreProperties>
</file>