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cuments\НА сайт\Рішення 2017\Рішення 01.12\266\"/>
    </mc:Choice>
  </mc:AlternateContent>
  <bookViews>
    <workbookView xWindow="0" yWindow="0" windowWidth="16380" windowHeight="8190"/>
  </bookViews>
  <sheets>
    <sheet name="Дод 4" sheetId="5" r:id="rId1"/>
  </sheets>
  <definedNames>
    <definedName name="_xlnm.Print_Titles" localSheetId="0">'Дод 4'!$A:$B,'Дод 4'!$5:$11</definedName>
    <definedName name="_xlnm.Print_Area" localSheetId="0">'Дод 4'!$A$1:$CI$92</definedName>
  </definedNames>
  <calcPr calcId="152511" fullCalcOnLoad="1"/>
</workbook>
</file>

<file path=xl/calcChain.xml><?xml version="1.0" encoding="utf-8"?>
<calcChain xmlns="http://schemas.openxmlformats.org/spreadsheetml/2006/main">
  <c r="AV20" i="5" l="1"/>
  <c r="AV19" i="5"/>
  <c r="BN13" i="5"/>
  <c r="BW13" i="5"/>
  <c r="BW25" i="5" s="1"/>
  <c r="BW89" i="5" s="1"/>
  <c r="BP13" i="5"/>
  <c r="BY13" i="5"/>
  <c r="BY25" i="5" s="1"/>
  <c r="BY89" i="5" s="1"/>
  <c r="CI15" i="5"/>
  <c r="CI19" i="5"/>
  <c r="CI20" i="5"/>
  <c r="CI22" i="5"/>
  <c r="CI24" i="5"/>
  <c r="CI26" i="5"/>
  <c r="CI30" i="5"/>
  <c r="CI31" i="5"/>
  <c r="CI33" i="5"/>
  <c r="CI34" i="5"/>
  <c r="CI36" i="5"/>
  <c r="CI38" i="5"/>
  <c r="CI40" i="5"/>
  <c r="CI42" i="5"/>
  <c r="CI43" i="5"/>
  <c r="CI47" i="5"/>
  <c r="CI49" i="5"/>
  <c r="CI50" i="5"/>
  <c r="CI53" i="5"/>
  <c r="CI56" i="5"/>
  <c r="CI63" i="5"/>
  <c r="CI66" i="5"/>
  <c r="CI67" i="5"/>
  <c r="CI68" i="5"/>
  <c r="CI69" i="5"/>
  <c r="CI70" i="5"/>
  <c r="CI71" i="5"/>
  <c r="CI72" i="5"/>
  <c r="CI73" i="5"/>
  <c r="CI74" i="5"/>
  <c r="CI75" i="5"/>
  <c r="CI76" i="5"/>
  <c r="CI77" i="5"/>
  <c r="CI78" i="5"/>
  <c r="CI79" i="5"/>
  <c r="CI80" i="5"/>
  <c r="CI81" i="5"/>
  <c r="CI82" i="5"/>
  <c r="CI83" i="5"/>
  <c r="CI85" i="5"/>
  <c r="CI86" i="5"/>
  <c r="CI87" i="5"/>
  <c r="CI12" i="5"/>
  <c r="BQ84" i="5"/>
  <c r="BP84" i="5"/>
  <c r="BQ48" i="5"/>
  <c r="BQ13" i="5"/>
  <c r="BQ25" i="5"/>
  <c r="BQ89" i="5" s="1"/>
  <c r="H47" i="5"/>
  <c r="H48" i="5" s="1"/>
  <c r="H46" i="5"/>
  <c r="H45" i="5"/>
  <c r="H44" i="5"/>
  <c r="H43" i="5"/>
  <c r="H42" i="5"/>
  <c r="H41" i="5"/>
  <c r="H40" i="5"/>
  <c r="H39" i="5"/>
  <c r="H38" i="5"/>
  <c r="H37" i="5"/>
  <c r="H36" i="5"/>
  <c r="H35" i="5"/>
  <c r="H34" i="5"/>
  <c r="H33" i="5"/>
  <c r="H32" i="5"/>
  <c r="H31" i="5"/>
  <c r="H30" i="5"/>
  <c r="H29" i="5"/>
  <c r="BF29" i="5" s="1"/>
  <c r="H28" i="5"/>
  <c r="H27" i="5"/>
  <c r="H26" i="5"/>
  <c r="H24" i="5"/>
  <c r="H23" i="5"/>
  <c r="H22" i="5"/>
  <c r="H21" i="5"/>
  <c r="H20" i="5"/>
  <c r="H19" i="5"/>
  <c r="H18" i="5"/>
  <c r="H17" i="5"/>
  <c r="H16" i="5"/>
  <c r="H15" i="5"/>
  <c r="H14" i="5"/>
  <c r="H13" i="5"/>
  <c r="H12" i="5"/>
  <c r="AG87" i="5"/>
  <c r="AG45" i="5"/>
  <c r="AG48" i="5" s="1"/>
  <c r="AG38" i="5"/>
  <c r="AG31" i="5"/>
  <c r="AG14" i="5"/>
  <c r="AG13" i="5"/>
  <c r="AG25" i="5" s="1"/>
  <c r="AG89" i="5" s="1"/>
  <c r="AV68" i="5"/>
  <c r="AV41" i="5"/>
  <c r="AV33" i="5"/>
  <c r="AV27" i="5"/>
  <c r="AV13" i="5"/>
  <c r="AU41" i="5"/>
  <c r="AU48" i="5" s="1"/>
  <c r="AU43" i="5"/>
  <c r="AU45" i="5"/>
  <c r="AU46" i="5"/>
  <c r="AU47" i="5"/>
  <c r="AU42" i="5"/>
  <c r="AU39" i="5"/>
  <c r="D48" i="5"/>
  <c r="D84" i="5"/>
  <c r="D25" i="5"/>
  <c r="D89" i="5"/>
  <c r="X62" i="5"/>
  <c r="X84" i="5"/>
  <c r="Z33" i="5"/>
  <c r="AH47" i="5"/>
  <c r="BH88" i="5"/>
  <c r="CI88" i="5"/>
  <c r="AH50" i="5"/>
  <c r="AH84" i="5"/>
  <c r="AH46" i="5"/>
  <c r="AH45" i="5"/>
  <c r="AH44" i="5"/>
  <c r="AH43" i="5"/>
  <c r="AH42" i="5"/>
  <c r="AH41" i="5"/>
  <c r="AH40" i="5"/>
  <c r="AH39" i="5"/>
  <c r="AH38" i="5"/>
  <c r="AH37" i="5"/>
  <c r="AH34" i="5"/>
  <c r="AH33" i="5"/>
  <c r="AH31" i="5"/>
  <c r="AH30" i="5"/>
  <c r="AH28" i="5"/>
  <c r="AH27" i="5"/>
  <c r="AH20" i="5"/>
  <c r="AH19" i="5"/>
  <c r="AH18" i="5"/>
  <c r="AH17" i="5"/>
  <c r="AH16" i="5"/>
  <c r="AH15" i="5"/>
  <c r="AH14" i="5"/>
  <c r="AH13" i="5"/>
  <c r="AH12" i="5"/>
  <c r="AH25" i="5" s="1"/>
  <c r="CH84" i="5"/>
  <c r="CG48" i="5"/>
  <c r="CH35" i="5"/>
  <c r="CH48" i="5" s="1"/>
  <c r="CH89" i="5"/>
  <c r="AK88" i="5"/>
  <c r="AK89" i="5"/>
  <c r="AU84" i="5"/>
  <c r="CC14" i="5"/>
  <c r="CD62" i="5"/>
  <c r="CI62" i="5"/>
  <c r="CB17" i="5"/>
  <c r="CB25" i="5"/>
  <c r="CB89" i="5" s="1"/>
  <c r="CB48" i="5"/>
  <c r="CB84" i="5"/>
  <c r="BK17" i="5"/>
  <c r="L87" i="5"/>
  <c r="L19" i="5"/>
  <c r="L16" i="5"/>
  <c r="L13" i="5"/>
  <c r="S48" i="5"/>
  <c r="S89" i="5"/>
  <c r="S84" i="5"/>
  <c r="O84" i="5"/>
  <c r="P84" i="5"/>
  <c r="Q84" i="5"/>
  <c r="R84" i="5"/>
  <c r="T84" i="5"/>
  <c r="N84" i="5"/>
  <c r="M84" i="5"/>
  <c r="N48" i="5"/>
  <c r="O48" i="5"/>
  <c r="O89" i="5" s="1"/>
  <c r="P48" i="5"/>
  <c r="P89" i="5" s="1"/>
  <c r="Q48" i="5"/>
  <c r="Q89" i="5" s="1"/>
  <c r="R38" i="5"/>
  <c r="T38" i="5"/>
  <c r="T48" i="5"/>
  <c r="T89" i="5" s="1"/>
  <c r="M13" i="5"/>
  <c r="M14" i="5"/>
  <c r="M15" i="5"/>
  <c r="M16" i="5"/>
  <c r="M17" i="5"/>
  <c r="M18" i="5"/>
  <c r="M19" i="5"/>
  <c r="M20" i="5"/>
  <c r="M21" i="5"/>
  <c r="M22" i="5"/>
  <c r="M23" i="5"/>
  <c r="M24" i="5"/>
  <c r="M25" i="5"/>
  <c r="M26" i="5"/>
  <c r="M27" i="5"/>
  <c r="M28" i="5"/>
  <c r="M29" i="5"/>
  <c r="M30" i="5"/>
  <c r="E30" i="5"/>
  <c r="F30" i="5"/>
  <c r="G30" i="5"/>
  <c r="U30" i="5"/>
  <c r="AF30" i="5"/>
  <c r="AG30" i="5"/>
  <c r="AV30" i="5"/>
  <c r="AZ30" i="5"/>
  <c r="M31" i="5"/>
  <c r="M32" i="5"/>
  <c r="M33" i="5"/>
  <c r="M34" i="5"/>
  <c r="M35" i="5"/>
  <c r="M36" i="5"/>
  <c r="M37" i="5"/>
  <c r="M39" i="5"/>
  <c r="M40" i="5"/>
  <c r="M41" i="5"/>
  <c r="M42" i="5"/>
  <c r="M43" i="5"/>
  <c r="M44" i="5"/>
  <c r="M45" i="5"/>
  <c r="M46" i="5"/>
  <c r="M47" i="5"/>
  <c r="M49" i="5"/>
  <c r="M50" i="5"/>
  <c r="M51" i="5"/>
  <c r="M52" i="5"/>
  <c r="M53" i="5"/>
  <c r="U53" i="5"/>
  <c r="M54" i="5"/>
  <c r="M55" i="5"/>
  <c r="M56" i="5"/>
  <c r="U56" i="5"/>
  <c r="AF56" i="5"/>
  <c r="M57" i="5"/>
  <c r="M58" i="5"/>
  <c r="M59" i="5"/>
  <c r="M60" i="5"/>
  <c r="M61" i="5"/>
  <c r="M62" i="5"/>
  <c r="M63" i="5"/>
  <c r="U63" i="5"/>
  <c r="BF63" i="5"/>
  <c r="AF63" i="5"/>
  <c r="M64" i="5"/>
  <c r="U64" i="5"/>
  <c r="BF64" i="5"/>
  <c r="M65" i="5"/>
  <c r="U65" i="5"/>
  <c r="BF65" i="5" s="1"/>
  <c r="M66" i="5"/>
  <c r="M67" i="5"/>
  <c r="M68" i="5"/>
  <c r="M69" i="5"/>
  <c r="BF69" i="5"/>
  <c r="U69" i="5"/>
  <c r="M70" i="5"/>
  <c r="M71" i="5"/>
  <c r="M72" i="5"/>
  <c r="M73" i="5"/>
  <c r="M74" i="5"/>
  <c r="M75" i="5"/>
  <c r="M76" i="5"/>
  <c r="U76" i="5"/>
  <c r="BE76" i="5"/>
  <c r="M77" i="5"/>
  <c r="M78" i="5"/>
  <c r="U78" i="5"/>
  <c r="BF78" i="5"/>
  <c r="M79" i="5"/>
  <c r="BF79" i="5"/>
  <c r="U79" i="5"/>
  <c r="M80" i="5"/>
  <c r="M81" i="5"/>
  <c r="M82" i="5"/>
  <c r="M83" i="5"/>
  <c r="M85" i="5"/>
  <c r="BF85" i="5"/>
  <c r="U85" i="5"/>
  <c r="M86" i="5"/>
  <c r="U86" i="5"/>
  <c r="M87" i="5"/>
  <c r="M88" i="5"/>
  <c r="M12" i="5"/>
  <c r="E47" i="5"/>
  <c r="E46" i="5"/>
  <c r="E45" i="5"/>
  <c r="E44" i="5"/>
  <c r="E43" i="5"/>
  <c r="E42" i="5"/>
  <c r="E41" i="5"/>
  <c r="E40" i="5"/>
  <c r="E39" i="5"/>
  <c r="E38" i="5"/>
  <c r="E37" i="5"/>
  <c r="E36" i="5"/>
  <c r="E35" i="5"/>
  <c r="E34" i="5"/>
  <c r="E33" i="5"/>
  <c r="E32" i="5"/>
  <c r="BF32" i="5" s="1"/>
  <c r="E31" i="5"/>
  <c r="E29" i="5"/>
  <c r="E28" i="5"/>
  <c r="E27" i="5"/>
  <c r="E26" i="5"/>
  <c r="F29" i="5"/>
  <c r="G29" i="5"/>
  <c r="U29" i="5"/>
  <c r="AE29" i="5"/>
  <c r="AF29" i="5"/>
  <c r="AV29" i="5"/>
  <c r="AZ29" i="5"/>
  <c r="BE29" i="5"/>
  <c r="F26" i="5"/>
  <c r="G26" i="5"/>
  <c r="L26" i="5"/>
  <c r="U26" i="5"/>
  <c r="AV26" i="5"/>
  <c r="E24" i="5"/>
  <c r="E23" i="5"/>
  <c r="E22" i="5"/>
  <c r="BF22" i="5" s="1"/>
  <c r="E21" i="5"/>
  <c r="E20" i="5"/>
  <c r="E19" i="5"/>
  <c r="E18" i="5"/>
  <c r="E17" i="5"/>
  <c r="E16" i="5"/>
  <c r="BF16" i="5" s="1"/>
  <c r="E15" i="5"/>
  <c r="F15" i="5"/>
  <c r="F25" i="5" s="1"/>
  <c r="G15" i="5"/>
  <c r="Y15" i="5"/>
  <c r="U15" i="5" s="1"/>
  <c r="AE15" i="5"/>
  <c r="AF15" i="5"/>
  <c r="AV15" i="5"/>
  <c r="E14" i="5"/>
  <c r="E13" i="5"/>
  <c r="E25" i="5" s="1"/>
  <c r="E12" i="5"/>
  <c r="E84" i="5"/>
  <c r="G47" i="5"/>
  <c r="G46" i="5"/>
  <c r="G45" i="5"/>
  <c r="G48" i="5" s="1"/>
  <c r="G44" i="5"/>
  <c r="G43" i="5"/>
  <c r="G42" i="5"/>
  <c r="G41" i="5"/>
  <c r="G40" i="5"/>
  <c r="G39" i="5"/>
  <c r="G38" i="5"/>
  <c r="G37" i="5"/>
  <c r="G36" i="5"/>
  <c r="G35" i="5"/>
  <c r="G34" i="5"/>
  <c r="G33" i="5"/>
  <c r="G32" i="5"/>
  <c r="G31" i="5"/>
  <c r="G28" i="5"/>
  <c r="G27" i="5"/>
  <c r="F46" i="5"/>
  <c r="U46" i="5"/>
  <c r="AF46" i="5"/>
  <c r="AV46" i="5"/>
  <c r="AZ46" i="5"/>
  <c r="F43" i="5"/>
  <c r="U43" i="5"/>
  <c r="AF43" i="5"/>
  <c r="AV43" i="5"/>
  <c r="AV48" i="5"/>
  <c r="AZ43" i="5"/>
  <c r="G24" i="5"/>
  <c r="BF24" i="5" s="1"/>
  <c r="G23" i="5"/>
  <c r="G21" i="5"/>
  <c r="G20" i="5"/>
  <c r="G19" i="5"/>
  <c r="G18" i="5"/>
  <c r="G17" i="5"/>
  <c r="G25" i="5" s="1"/>
  <c r="G89" i="5" s="1"/>
  <c r="G16" i="5"/>
  <c r="G14" i="5"/>
  <c r="G13" i="5"/>
  <c r="G12" i="5"/>
  <c r="F47" i="5"/>
  <c r="F45" i="5"/>
  <c r="F44" i="5"/>
  <c r="F42" i="5"/>
  <c r="F41" i="5"/>
  <c r="F40" i="5"/>
  <c r="F39" i="5"/>
  <c r="F38" i="5"/>
  <c r="F37" i="5"/>
  <c r="BF37" i="5" s="1"/>
  <c r="F36" i="5"/>
  <c r="F35" i="5"/>
  <c r="F34" i="5"/>
  <c r="F33" i="5"/>
  <c r="BF33" i="5" s="1"/>
  <c r="F32" i="5"/>
  <c r="F31" i="5"/>
  <c r="F28" i="5"/>
  <c r="BF28" i="5"/>
  <c r="F27" i="5"/>
  <c r="L40" i="5"/>
  <c r="L48" i="5" s="1"/>
  <c r="U40" i="5"/>
  <c r="AE40" i="5"/>
  <c r="AF40" i="5"/>
  <c r="AV40" i="5"/>
  <c r="AZ40" i="5"/>
  <c r="BA40" i="5"/>
  <c r="BB40" i="5"/>
  <c r="Y36" i="5"/>
  <c r="U36" i="5"/>
  <c r="AE36" i="5"/>
  <c r="AF36" i="5"/>
  <c r="AV36" i="5"/>
  <c r="AZ36" i="5"/>
  <c r="BA36" i="5"/>
  <c r="BA48" i="5" s="1"/>
  <c r="BB36" i="5"/>
  <c r="U32" i="5"/>
  <c r="AF32" i="5"/>
  <c r="AV32" i="5"/>
  <c r="AZ32" i="5"/>
  <c r="F24" i="5"/>
  <c r="L24" i="5"/>
  <c r="U24" i="5"/>
  <c r="AF24" i="5"/>
  <c r="F23" i="5"/>
  <c r="F22" i="5"/>
  <c r="F21" i="5"/>
  <c r="F20" i="5"/>
  <c r="F19" i="5"/>
  <c r="F18" i="5"/>
  <c r="F17" i="5"/>
  <c r="I17" i="5"/>
  <c r="Y17" i="5"/>
  <c r="BF17" i="5" s="1"/>
  <c r="U17" i="5"/>
  <c r="AE17" i="5"/>
  <c r="AF17" i="5"/>
  <c r="F16" i="5"/>
  <c r="F14" i="5"/>
  <c r="F13" i="5"/>
  <c r="F12" i="5"/>
  <c r="BE16" i="5"/>
  <c r="BE25" i="5"/>
  <c r="BE47" i="5"/>
  <c r="BE48" i="5"/>
  <c r="BE28" i="5"/>
  <c r="BE60" i="5"/>
  <c r="BE84" i="5" s="1"/>
  <c r="BE89" i="5"/>
  <c r="BE61" i="5"/>
  <c r="AF67" i="5"/>
  <c r="AF50" i="5"/>
  <c r="AF55" i="5"/>
  <c r="AF60" i="5"/>
  <c r="AF84" i="5" s="1"/>
  <c r="AF47" i="5"/>
  <c r="AF45" i="5"/>
  <c r="AF41" i="5"/>
  <c r="AF44" i="5"/>
  <c r="AF42" i="5"/>
  <c r="AF39" i="5"/>
  <c r="AF38" i="5"/>
  <c r="AF37" i="5"/>
  <c r="AF35" i="5"/>
  <c r="AF34" i="5"/>
  <c r="AF33" i="5"/>
  <c r="AF31" i="5"/>
  <c r="AF28" i="5"/>
  <c r="AF27" i="5"/>
  <c r="AF23" i="5"/>
  <c r="AF22" i="5"/>
  <c r="AF21" i="5"/>
  <c r="AF18" i="5"/>
  <c r="AF14" i="5"/>
  <c r="AF13" i="5"/>
  <c r="AF25" i="5" s="1"/>
  <c r="AF89" i="5" s="1"/>
  <c r="BK46" i="5"/>
  <c r="CI46" i="5"/>
  <c r="BK64" i="5"/>
  <c r="CI64" i="5"/>
  <c r="L23" i="5"/>
  <c r="AJ87" i="5"/>
  <c r="CC16" i="5"/>
  <c r="CC25" i="5"/>
  <c r="CC89" i="5" s="1"/>
  <c r="CC17" i="5"/>
  <c r="CC48" i="5"/>
  <c r="CC84" i="5"/>
  <c r="BC72" i="5"/>
  <c r="BC84" i="5"/>
  <c r="BC39" i="5"/>
  <c r="BC48" i="5"/>
  <c r="BC89" i="5" s="1"/>
  <c r="AO88" i="5"/>
  <c r="J66" i="5"/>
  <c r="J67" i="5"/>
  <c r="J84" i="5" s="1"/>
  <c r="AJ16" i="5"/>
  <c r="AJ25" i="5" s="1"/>
  <c r="AJ48" i="5"/>
  <c r="AJ84" i="5"/>
  <c r="AJ89" i="5" s="1"/>
  <c r="BM25" i="5"/>
  <c r="BM48" i="5"/>
  <c r="BM84" i="5"/>
  <c r="BM89" i="5" s="1"/>
  <c r="L12" i="5"/>
  <c r="Y12" i="5"/>
  <c r="U12" i="5" s="1"/>
  <c r="AE12" i="5"/>
  <c r="AF12" i="5"/>
  <c r="AF16" i="5"/>
  <c r="AF19" i="5"/>
  <c r="AF20" i="5"/>
  <c r="L28" i="5"/>
  <c r="L14" i="5"/>
  <c r="L21" i="5"/>
  <c r="L25" i="5"/>
  <c r="L22" i="5"/>
  <c r="K87" i="5"/>
  <c r="L35" i="5"/>
  <c r="I87" i="5"/>
  <c r="U87" i="5"/>
  <c r="AF87" i="5"/>
  <c r="AU87" i="5"/>
  <c r="AZ87" i="5"/>
  <c r="BA87" i="5"/>
  <c r="BB87" i="5"/>
  <c r="BB37" i="5"/>
  <c r="BB33" i="5"/>
  <c r="BB47" i="5"/>
  <c r="BB42" i="5"/>
  <c r="BB48" i="5" s="1"/>
  <c r="BB89" i="5" s="1"/>
  <c r="BB25" i="5"/>
  <c r="BB84" i="5"/>
  <c r="BN25" i="5"/>
  <c r="BN48" i="5"/>
  <c r="BN84" i="5"/>
  <c r="BN89" i="5" s="1"/>
  <c r="AV83" i="5"/>
  <c r="U83" i="5"/>
  <c r="BF83" i="5" s="1"/>
  <c r="AV45" i="5"/>
  <c r="AV39" i="5"/>
  <c r="AV38" i="5"/>
  <c r="AV37" i="5"/>
  <c r="AV35" i="5"/>
  <c r="AV34" i="5"/>
  <c r="AV31" i="5"/>
  <c r="AV28" i="5"/>
  <c r="AV16" i="5"/>
  <c r="K25" i="5"/>
  <c r="K48" i="5"/>
  <c r="K84" i="5"/>
  <c r="J13" i="5"/>
  <c r="J25" i="5"/>
  <c r="V13" i="5"/>
  <c r="V25" i="5" s="1"/>
  <c r="Y13" i="5"/>
  <c r="AC13" i="5"/>
  <c r="AC14" i="5"/>
  <c r="AC25" i="5" s="1"/>
  <c r="AC20" i="5"/>
  <c r="AC48" i="5"/>
  <c r="AC84" i="5"/>
  <c r="AE13" i="5"/>
  <c r="AE25" i="5" s="1"/>
  <c r="AG16" i="5"/>
  <c r="AG42" i="5"/>
  <c r="AG27" i="5"/>
  <c r="Y14" i="5"/>
  <c r="U14" i="5"/>
  <c r="AE14" i="5"/>
  <c r="AV14" i="5"/>
  <c r="AV25" i="5" s="1"/>
  <c r="AV18" i="5"/>
  <c r="Y16" i="5"/>
  <c r="U16" i="5"/>
  <c r="AE16" i="5"/>
  <c r="I25" i="5"/>
  <c r="I89" i="5" s="1"/>
  <c r="I48" i="5"/>
  <c r="I84" i="5"/>
  <c r="Y18" i="5"/>
  <c r="U18" i="5"/>
  <c r="AE18" i="5"/>
  <c r="Y19" i="5"/>
  <c r="AE19" i="5"/>
  <c r="Y20" i="5"/>
  <c r="U20" i="5"/>
  <c r="AE20" i="5"/>
  <c r="Y21" i="5"/>
  <c r="AE21" i="5"/>
  <c r="AE22" i="5"/>
  <c r="AE23" i="5"/>
  <c r="Y22" i="5"/>
  <c r="U23" i="5"/>
  <c r="C25" i="5"/>
  <c r="W25" i="5"/>
  <c r="W48" i="5"/>
  <c r="W84" i="5"/>
  <c r="X25" i="5"/>
  <c r="X48" i="5"/>
  <c r="Z25" i="5"/>
  <c r="AD25" i="5"/>
  <c r="AD89" i="5" s="1"/>
  <c r="AD48" i="5"/>
  <c r="AD84" i="5"/>
  <c r="AA25" i="5"/>
  <c r="AA48" i="5"/>
  <c r="AA84" i="5"/>
  <c r="AB25" i="5"/>
  <c r="AI25" i="5"/>
  <c r="AI48" i="5"/>
  <c r="AI84" i="5"/>
  <c r="AI89" i="5" s="1"/>
  <c r="AL25" i="5"/>
  <c r="AM25" i="5"/>
  <c r="AM48" i="5"/>
  <c r="AM84" i="5"/>
  <c r="AM89" i="5" s="1"/>
  <c r="AN25" i="5"/>
  <c r="AO25" i="5"/>
  <c r="AP25" i="5"/>
  <c r="AP48" i="5"/>
  <c r="AP89" i="5" s="1"/>
  <c r="AP88" i="5"/>
  <c r="AP84" i="5"/>
  <c r="AR25" i="5"/>
  <c r="AS25" i="5"/>
  <c r="AS89" i="5" s="1"/>
  <c r="AT25" i="5"/>
  <c r="AU25" i="5"/>
  <c r="AW25" i="5"/>
  <c r="AW48" i="5"/>
  <c r="AW84" i="5"/>
  <c r="AX25" i="5"/>
  <c r="AX89" i="5" s="1"/>
  <c r="AY25" i="5"/>
  <c r="AZ25" i="5"/>
  <c r="AZ89" i="5" s="1"/>
  <c r="BA25" i="5"/>
  <c r="Y27" i="5"/>
  <c r="AE27" i="5"/>
  <c r="AZ27" i="5"/>
  <c r="U28" i="5"/>
  <c r="AZ28" i="5"/>
  <c r="BA28" i="5"/>
  <c r="Y31" i="5"/>
  <c r="Z31" i="5"/>
  <c r="Z48" i="5" s="1"/>
  <c r="Z89" i="5" s="1"/>
  <c r="AE31" i="5"/>
  <c r="AZ31" i="5"/>
  <c r="AZ33" i="5"/>
  <c r="Y34" i="5"/>
  <c r="U34" i="5"/>
  <c r="AE34" i="5"/>
  <c r="AZ34" i="5"/>
  <c r="Y35" i="5"/>
  <c r="U35" i="5" s="1"/>
  <c r="AE35" i="5"/>
  <c r="AZ35" i="5"/>
  <c r="Y37" i="5"/>
  <c r="U37" i="5" s="1"/>
  <c r="AE37" i="5"/>
  <c r="AZ37" i="5"/>
  <c r="Y38" i="5"/>
  <c r="BF38" i="5" s="1"/>
  <c r="AE38" i="5"/>
  <c r="AZ38" i="5"/>
  <c r="Y39" i="5"/>
  <c r="U39" i="5"/>
  <c r="AE39" i="5"/>
  <c r="AZ39" i="5"/>
  <c r="U41" i="5"/>
  <c r="AE41" i="5"/>
  <c r="AZ41" i="5"/>
  <c r="Y42" i="5"/>
  <c r="U42" i="5" s="1"/>
  <c r="AE42" i="5"/>
  <c r="AZ42" i="5"/>
  <c r="Y44" i="5"/>
  <c r="U44" i="5" s="1"/>
  <c r="AE44" i="5"/>
  <c r="BF44" i="5" s="1"/>
  <c r="AZ44" i="5"/>
  <c r="Y45" i="5"/>
  <c r="U45" i="5" s="1"/>
  <c r="AE45" i="5"/>
  <c r="AZ45" i="5"/>
  <c r="U47" i="5"/>
  <c r="AZ47" i="5"/>
  <c r="AZ48" i="5" s="1"/>
  <c r="C48" i="5"/>
  <c r="C84" i="5"/>
  <c r="J48" i="5"/>
  <c r="V48" i="5"/>
  <c r="AB48" i="5"/>
  <c r="AB89" i="5"/>
  <c r="AL48" i="5"/>
  <c r="AL84" i="5"/>
  <c r="AL89" i="5" s="1"/>
  <c r="AN48" i="5"/>
  <c r="AO48" i="5"/>
  <c r="AO84" i="5"/>
  <c r="AR48" i="5"/>
  <c r="AR88" i="5"/>
  <c r="AR84" i="5"/>
  <c r="AS48" i="5"/>
  <c r="AT48" i="5"/>
  <c r="AX48" i="5"/>
  <c r="AY48" i="5"/>
  <c r="AY84" i="5"/>
  <c r="AY89" i="5"/>
  <c r="BD48" i="5"/>
  <c r="BD89" i="5"/>
  <c r="BD84" i="5"/>
  <c r="U49" i="5"/>
  <c r="BF49" i="5" s="1"/>
  <c r="Y50" i="5"/>
  <c r="U50" i="5" s="1"/>
  <c r="AE50" i="5"/>
  <c r="AV50" i="5"/>
  <c r="AV59" i="5"/>
  <c r="U51" i="5"/>
  <c r="BF51" i="5" s="1"/>
  <c r="Y52" i="5"/>
  <c r="Y60" i="5"/>
  <c r="Y84" i="5"/>
  <c r="Y62" i="5"/>
  <c r="AE52" i="5"/>
  <c r="U54" i="5"/>
  <c r="U55" i="5"/>
  <c r="BF55" i="5" s="1"/>
  <c r="U57" i="5"/>
  <c r="BF57" i="5"/>
  <c r="U58" i="5"/>
  <c r="BF58" i="5"/>
  <c r="U59" i="5"/>
  <c r="V60" i="5"/>
  <c r="U60" i="5" s="1"/>
  <c r="BF60" i="5" s="1"/>
  <c r="AE60" i="5"/>
  <c r="U61" i="5"/>
  <c r="AE62" i="5"/>
  <c r="U66" i="5"/>
  <c r="BF66" i="5" s="1"/>
  <c r="Z67" i="5"/>
  <c r="U67" i="5"/>
  <c r="U68" i="5"/>
  <c r="BF68" i="5"/>
  <c r="U70" i="5"/>
  <c r="BF70" i="5"/>
  <c r="U71" i="5"/>
  <c r="BF71" i="5"/>
  <c r="U72" i="5"/>
  <c r="AE72" i="5"/>
  <c r="AE80" i="5"/>
  <c r="U73" i="5"/>
  <c r="BF73" i="5" s="1"/>
  <c r="U74" i="5"/>
  <c r="BF74" i="5" s="1"/>
  <c r="U75" i="5"/>
  <c r="BF75" i="5" s="1"/>
  <c r="U77" i="5"/>
  <c r="U80" i="5"/>
  <c r="BF80" i="5"/>
  <c r="U81" i="5"/>
  <c r="BF81" i="5"/>
  <c r="U82" i="5"/>
  <c r="BF82" i="5"/>
  <c r="F84" i="5"/>
  <c r="G84" i="5"/>
  <c r="H84" i="5"/>
  <c r="L84" i="5"/>
  <c r="AN84" i="5"/>
  <c r="AN89" i="5"/>
  <c r="AS84" i="5"/>
  <c r="AT84" i="5"/>
  <c r="AX84" i="5"/>
  <c r="AZ84" i="5"/>
  <c r="BA84" i="5"/>
  <c r="U88" i="5"/>
  <c r="AN88" i="5"/>
  <c r="AS88" i="5"/>
  <c r="AT88" i="5"/>
  <c r="AT89" i="5" s="1"/>
  <c r="AQ89" i="5"/>
  <c r="BG48" i="5"/>
  <c r="BG89" i="5" s="1"/>
  <c r="BG84" i="5"/>
  <c r="BH25" i="5"/>
  <c r="BH48" i="5"/>
  <c r="BH84" i="5"/>
  <c r="BH89" i="5" s="1"/>
  <c r="BI25" i="5"/>
  <c r="BI48" i="5"/>
  <c r="BI84" i="5"/>
  <c r="BI89" i="5" s="1"/>
  <c r="BJ25" i="5"/>
  <c r="BJ32" i="5"/>
  <c r="CI32" i="5" s="1"/>
  <c r="CD32" i="5"/>
  <c r="CD48" i="5" s="1"/>
  <c r="BJ84" i="5"/>
  <c r="BK13" i="5"/>
  <c r="BK25" i="5"/>
  <c r="BK35" i="5"/>
  <c r="CI35" i="5" s="1"/>
  <c r="BK29" i="5"/>
  <c r="BL18" i="5"/>
  <c r="CI18" i="5"/>
  <c r="BL45" i="5"/>
  <c r="BL44" i="5"/>
  <c r="CI44" i="5" s="1"/>
  <c r="BL41" i="5"/>
  <c r="CI41" i="5" s="1"/>
  <c r="BL39" i="5"/>
  <c r="CI39" i="5"/>
  <c r="BL37" i="5"/>
  <c r="CI37" i="5" s="1"/>
  <c r="BL29" i="5"/>
  <c r="BL27" i="5"/>
  <c r="CI27" i="5"/>
  <c r="BL51" i="5"/>
  <c r="BL52" i="5"/>
  <c r="CI52" i="5"/>
  <c r="BL54" i="5"/>
  <c r="CI54" i="5"/>
  <c r="BL55" i="5"/>
  <c r="CI55" i="5"/>
  <c r="BL57" i="5"/>
  <c r="CI57" i="5"/>
  <c r="BL58" i="5"/>
  <c r="CI58" i="5"/>
  <c r="BL59" i="5"/>
  <c r="CI59" i="5"/>
  <c r="BL60" i="5"/>
  <c r="CI60" i="5"/>
  <c r="BL61" i="5"/>
  <c r="CI61" i="5"/>
  <c r="BL64" i="5"/>
  <c r="BL65" i="5"/>
  <c r="CI65" i="5" s="1"/>
  <c r="BO25" i="5"/>
  <c r="BO48" i="5"/>
  <c r="BO89" i="5" s="1"/>
  <c r="BO84" i="5"/>
  <c r="BP25" i="5"/>
  <c r="BP89" i="5"/>
  <c r="BP48" i="5"/>
  <c r="BR21" i="5"/>
  <c r="CI21" i="5" s="1"/>
  <c r="BR48" i="5"/>
  <c r="BR84" i="5"/>
  <c r="BS25" i="5"/>
  <c r="BS89" i="5" s="1"/>
  <c r="BS48" i="5"/>
  <c r="BS84" i="5"/>
  <c r="BT13" i="5"/>
  <c r="BT25" i="5" s="1"/>
  <c r="BU25" i="5"/>
  <c r="BU48" i="5"/>
  <c r="BU84" i="5"/>
  <c r="BU89" i="5" s="1"/>
  <c r="BV13" i="5"/>
  <c r="BV16" i="5"/>
  <c r="BV25" i="5" s="1"/>
  <c r="BV89" i="5" s="1"/>
  <c r="BV23" i="5"/>
  <c r="CI23" i="5"/>
  <c r="BV28" i="5"/>
  <c r="BV48" i="5"/>
  <c r="BV84" i="5"/>
  <c r="BX16" i="5"/>
  <c r="BX25" i="5" s="1"/>
  <c r="BX89" i="5" s="1"/>
  <c r="BW48" i="5"/>
  <c r="BW84" i="5"/>
  <c r="BX48" i="5"/>
  <c r="BX84" i="5"/>
  <c r="BY48" i="5"/>
  <c r="BZ14" i="5"/>
  <c r="CI14" i="5" s="1"/>
  <c r="BZ25" i="5"/>
  <c r="BZ89" i="5" s="1"/>
  <c r="BZ48" i="5"/>
  <c r="BZ84" i="5"/>
  <c r="CA25" i="5"/>
  <c r="CA48" i="5"/>
  <c r="CA84" i="5"/>
  <c r="CA89" i="5" s="1"/>
  <c r="CD13" i="5"/>
  <c r="CD25" i="5"/>
  <c r="CD89" i="5" s="1"/>
  <c r="CE25" i="5"/>
  <c r="CE48" i="5"/>
  <c r="CE84" i="5"/>
  <c r="CF25" i="5"/>
  <c r="CF48" i="5"/>
  <c r="CF89" i="5"/>
  <c r="CF84" i="5"/>
  <c r="CG25" i="5"/>
  <c r="CG89" i="5" s="1"/>
  <c r="CG84" i="5"/>
  <c r="V84" i="5"/>
  <c r="BK84" i="5"/>
  <c r="U52" i="5"/>
  <c r="U21" i="5"/>
  <c r="V89" i="5"/>
  <c r="BL25" i="5"/>
  <c r="BF72" i="5"/>
  <c r="R48" i="5"/>
  <c r="M38" i="5"/>
  <c r="BF30" i="5"/>
  <c r="CE89" i="5"/>
  <c r="H25" i="5"/>
  <c r="H89" i="5" s="1"/>
  <c r="AF48" i="5"/>
  <c r="BF53" i="5"/>
  <c r="U33" i="5"/>
  <c r="K89" i="5"/>
  <c r="U22" i="5"/>
  <c r="BF61" i="5"/>
  <c r="W89" i="5"/>
  <c r="BF20" i="5"/>
  <c r="BF47" i="5"/>
  <c r="CI45" i="5"/>
  <c r="CI16" i="5"/>
  <c r="Y25" i="5"/>
  <c r="BF45" i="5"/>
  <c r="BF12" i="5"/>
  <c r="U38" i="5"/>
  <c r="Z84" i="5"/>
  <c r="BR25" i="5"/>
  <c r="BR89" i="5" s="1"/>
  <c r="U62" i="5"/>
  <c r="BF62" i="5" s="1"/>
  <c r="CI28" i="5"/>
  <c r="BF35" i="5"/>
  <c r="BF67" i="5"/>
  <c r="N89" i="5"/>
  <c r="CI51" i="5"/>
  <c r="R89" i="5"/>
  <c r="CD84" i="5"/>
  <c r="M89" i="5"/>
  <c r="U84" i="5"/>
  <c r="BT89" i="5" l="1"/>
  <c r="CI25" i="5"/>
  <c r="AC89" i="5"/>
  <c r="U25" i="5"/>
  <c r="BF25" i="5" s="1"/>
  <c r="BL84" i="5"/>
  <c r="CI84" i="5" s="1"/>
  <c r="BL48" i="5"/>
  <c r="CI29" i="5"/>
  <c r="CI13" i="5"/>
  <c r="AE84" i="5"/>
  <c r="BF84" i="5" s="1"/>
  <c r="BF52" i="5"/>
  <c r="BF27" i="5"/>
  <c r="AU89" i="5"/>
  <c r="AO89" i="5"/>
  <c r="U19" i="5"/>
  <c r="BF19" i="5" s="1"/>
  <c r="BF87" i="5"/>
  <c r="L89" i="5"/>
  <c r="BF34" i="5"/>
  <c r="BF36" i="5"/>
  <c r="BF40" i="5"/>
  <c r="BF88" i="5"/>
  <c r="BF77" i="5"/>
  <c r="BF59" i="5"/>
  <c r="Y48" i="5"/>
  <c r="U13" i="5"/>
  <c r="BF13" i="5" s="1"/>
  <c r="BK48" i="5"/>
  <c r="BK89" i="5" s="1"/>
  <c r="BF15" i="5"/>
  <c r="BF42" i="5"/>
  <c r="M48" i="5"/>
  <c r="BJ48" i="5"/>
  <c r="BJ89" i="5" s="1"/>
  <c r="AV84" i="5"/>
  <c r="AV89" i="5" s="1"/>
  <c r="BF50" i="5"/>
  <c r="AE48" i="5"/>
  <c r="AE89" i="5" s="1"/>
  <c r="BF39" i="5"/>
  <c r="U31" i="5"/>
  <c r="BF31" i="5" s="1"/>
  <c r="U27" i="5"/>
  <c r="BA89" i="5"/>
  <c r="AW89" i="5"/>
  <c r="AR89" i="5"/>
  <c r="AA89" i="5"/>
  <c r="X89" i="5"/>
  <c r="C89" i="5"/>
  <c r="BF21" i="5"/>
  <c r="BF18" i="5"/>
  <c r="BF14" i="5"/>
  <c r="J89" i="5"/>
  <c r="BF23" i="5"/>
  <c r="F48" i="5"/>
  <c r="F89" i="5" s="1"/>
  <c r="BF26" i="5"/>
  <c r="BF41" i="5"/>
  <c r="BF43" i="5"/>
  <c r="E48" i="5"/>
  <c r="E89" i="5" s="1"/>
  <c r="BF46" i="5"/>
  <c r="BF86" i="5"/>
  <c r="BF76" i="5"/>
  <c r="BF56" i="5"/>
  <c r="BF54" i="5"/>
  <c r="CI17" i="5"/>
  <c r="AH48" i="5"/>
  <c r="AH89" i="5" s="1"/>
  <c r="BL89" i="5" l="1"/>
  <c r="CI89" i="5" s="1"/>
  <c r="CI48" i="5"/>
  <c r="U48" i="5"/>
  <c r="BF48" i="5" s="1"/>
  <c r="Y89" i="5"/>
  <c r="U89" i="5" s="1"/>
  <c r="BF89" i="5" l="1"/>
</calcChain>
</file>

<file path=xl/comments1.xml><?xml version="1.0" encoding="utf-8"?>
<comments xmlns="http://schemas.openxmlformats.org/spreadsheetml/2006/main">
  <authors>
    <author>Lutvun</author>
  </authors>
  <commentList>
    <comment ref="BJ32" authorId="0" shapeId="0">
      <text>
        <r>
          <rPr>
            <b/>
            <sz val="36"/>
            <color indexed="81"/>
            <rFont val="Times New Roman"/>
            <family val="1"/>
            <charset val="204"/>
          </rPr>
          <t>Lutvun:</t>
        </r>
        <r>
          <rPr>
            <sz val="36"/>
            <color indexed="81"/>
            <rFont val="Times New Roman"/>
            <family val="1"/>
            <charset val="204"/>
          </rPr>
          <t xml:space="preserve">
Грешных
</t>
        </r>
      </text>
    </comment>
  </commentList>
</comments>
</file>

<file path=xl/sharedStrings.xml><?xml version="1.0" encoding="utf-8"?>
<sst xmlns="http://schemas.openxmlformats.org/spreadsheetml/2006/main" count="355" uniqueCount="277">
  <si>
    <t>грн</t>
  </si>
  <si>
    <t>Код бюджету</t>
  </si>
  <si>
    <t>Обсяги міжбюджетних трансфертів, що передаються з обласного бюджету до державного бюджету</t>
  </si>
  <si>
    <t>Разом</t>
  </si>
  <si>
    <t>загальний фонд</t>
  </si>
  <si>
    <t>спеціальний фонд</t>
  </si>
  <si>
    <t>субвенції на здійснення програм соціального захисту:</t>
  </si>
  <si>
    <t>на виконання програм соціально-економічного та культурного розвитку регіонів</t>
  </si>
  <si>
    <t>інші субвенції</t>
  </si>
  <si>
    <t>на природоохоронні заходи</t>
  </si>
  <si>
    <t>на охорону і раціональне використання земель</t>
  </si>
  <si>
    <t>04100000000</t>
  </si>
  <si>
    <t>Обласний бюджет</t>
  </si>
  <si>
    <t>Державний бюджет</t>
  </si>
  <si>
    <t>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</si>
  <si>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04511000000</t>
  </si>
  <si>
    <t>04514000000</t>
  </si>
  <si>
    <t>04202100000</t>
  </si>
  <si>
    <t>04201100000</t>
  </si>
  <si>
    <t>04203100000</t>
  </si>
  <si>
    <t>04204100000</t>
  </si>
  <si>
    <t>04205100000</t>
  </si>
  <si>
    <t>04206100000</t>
  </si>
  <si>
    <t>04207100000</t>
  </si>
  <si>
    <t>04208100000</t>
  </si>
  <si>
    <t>04209100000</t>
  </si>
  <si>
    <t>04210100000</t>
  </si>
  <si>
    <t>04211100000</t>
  </si>
  <si>
    <t>04212100000</t>
  </si>
  <si>
    <t>04213100000</t>
  </si>
  <si>
    <t>04301200000</t>
  </si>
  <si>
    <t>04302200000</t>
  </si>
  <si>
    <t>04303200000</t>
  </si>
  <si>
    <t>04304200000</t>
  </si>
  <si>
    <t>04305200000</t>
  </si>
  <si>
    <t>04306200000</t>
  </si>
  <si>
    <t>04307200000</t>
  </si>
  <si>
    <t>04308200000</t>
  </si>
  <si>
    <t>04309200000</t>
  </si>
  <si>
    <t>04310200000</t>
  </si>
  <si>
    <t>04311200000</t>
  </si>
  <si>
    <t>04312200000</t>
  </si>
  <si>
    <t>04313200000</t>
  </si>
  <si>
    <t>04314200000</t>
  </si>
  <si>
    <t>04315200000</t>
  </si>
  <si>
    <t>04316200000</t>
  </si>
  <si>
    <t>04317200000</t>
  </si>
  <si>
    <t>04318200000</t>
  </si>
  <si>
    <t>04319200000</t>
  </si>
  <si>
    <t>04320200000</t>
  </si>
  <si>
    <t>04321200000</t>
  </si>
  <si>
    <t>04322200000</t>
  </si>
  <si>
    <t>04502000000</t>
  </si>
  <si>
    <t>Обсяги міжбюджетних трансфертів, що передаються з обласного бюджету до місцевих бюджетів</t>
  </si>
  <si>
    <t>Назва адміністративно-територіальних одиниць</t>
  </si>
  <si>
    <t>Апостолівський р-н</t>
  </si>
  <si>
    <t xml:space="preserve">Разом </t>
  </si>
  <si>
    <t>м. Вільногірськ</t>
  </si>
  <si>
    <t>м. Жовті Води</t>
  </si>
  <si>
    <t>м. Кривий Ріг</t>
  </si>
  <si>
    <t>м. Марганець</t>
  </si>
  <si>
    <t>м. Нікополь</t>
  </si>
  <si>
    <t>м. Новомосковськ</t>
  </si>
  <si>
    <t>м. Павлоград</t>
  </si>
  <si>
    <t>м. Першотравенськ</t>
  </si>
  <si>
    <t>м. Синельникове</t>
  </si>
  <si>
    <t>м. Тернівка</t>
  </si>
  <si>
    <t>Васильківський р-н</t>
  </si>
  <si>
    <t>Верхньодніпровський р-н</t>
  </si>
  <si>
    <t>Криворізький р-н</t>
  </si>
  <si>
    <t>Криничанський р-н</t>
  </si>
  <si>
    <t>Магдалинівський р-н</t>
  </si>
  <si>
    <t>Межівський р-н</t>
  </si>
  <si>
    <t>Нікопольський р-н</t>
  </si>
  <si>
    <t>Новомосковський р-н</t>
  </si>
  <si>
    <t>Павлоградський р-н</t>
  </si>
  <si>
    <t>Петриківський р-н</t>
  </si>
  <si>
    <t>Петропавлівський р-н</t>
  </si>
  <si>
    <t>Покровський р-н</t>
  </si>
  <si>
    <t>П’ятихатський р-н</t>
  </si>
  <si>
    <t>Синельниківський р-н</t>
  </si>
  <si>
    <t>Солонянський р-н</t>
  </si>
  <si>
    <t>Софіївський р-н</t>
  </si>
  <si>
    <t>Томаківський р-н</t>
  </si>
  <si>
    <t>Царичанський р-н</t>
  </si>
  <si>
    <t>Широківський р-н</t>
  </si>
  <si>
    <t>Юр’ївський р-н</t>
  </si>
  <si>
    <t>Новоолександрівська сільська рада</t>
  </si>
  <si>
    <t xml:space="preserve">Богданівська сільська рада </t>
  </si>
  <si>
    <t xml:space="preserve">Сурсько-Литовська сільська рада </t>
  </si>
  <si>
    <t>Обласний бюджет Кіровоградської області</t>
  </si>
  <si>
    <t xml:space="preserve">Обсяги міжбюджетних трансфертів, що передаються з обласного бюджету до місцевих бюджетів за рахунок коштів  державного бюджету </t>
  </si>
  <si>
    <t>на розроблення проектів землеустрою для учасників бойових дій, які брали безпосередню участь в антитерористичній операції, забезпеченні її проведення, та членам сімей загиблих учасників бойових дій</t>
  </si>
  <si>
    <t>Об’єднані територіальні громади</t>
  </si>
  <si>
    <t>04515000000</t>
  </si>
  <si>
    <t>Апостолівська міська рада</t>
  </si>
  <si>
    <t>Вербківська сільська рада</t>
  </si>
  <si>
    <t>Зеленодольська міська рада</t>
  </si>
  <si>
    <t>Грушівська сільська рада</t>
  </si>
  <si>
    <t>Ляшківська сільська рада</t>
  </si>
  <si>
    <t>Могилівська сільська рада</t>
  </si>
  <si>
    <t>Нивотрудівська сільська рада</t>
  </si>
  <si>
    <t>Новопокровська селищна рада</t>
  </si>
  <si>
    <t>Солонянська селищна рада</t>
  </si>
  <si>
    <t>04501000000</t>
  </si>
  <si>
    <t>04503000000</t>
  </si>
  <si>
    <t>04504000000</t>
  </si>
  <si>
    <t>04505000000</t>
  </si>
  <si>
    <t>04506000000</t>
  </si>
  <si>
    <t>04507000000</t>
  </si>
  <si>
    <t>04508000000</t>
  </si>
  <si>
    <t>04509000000</t>
  </si>
  <si>
    <t>04510000000</t>
  </si>
  <si>
    <t>04512000000</t>
  </si>
  <si>
    <t>04513000000</t>
  </si>
  <si>
    <t>м. Покров</t>
  </si>
  <si>
    <t>Дніпровський р-н</t>
  </si>
  <si>
    <t>Слобожанська селищна рада</t>
  </si>
  <si>
    <t>Обласний бюджет Донецької області</t>
  </si>
  <si>
    <t>на надання пільг та житлових субсидій населенню на придбання твердого та рідкого пічного побутового палива і скрапленого газу</t>
  </si>
  <si>
    <t>КПКВК 7618480</t>
  </si>
  <si>
    <t>КПКВК 7618260</t>
  </si>
  <si>
    <t>КПКВК 7618320</t>
  </si>
  <si>
    <t>КПКВК 7618340</t>
  </si>
  <si>
    <t>КПКВК 6018370</t>
  </si>
  <si>
    <t>Реверсна дотація</t>
  </si>
  <si>
    <t>КПКВК 7618120</t>
  </si>
  <si>
    <t>Перший заступник голови обласної ради</t>
  </si>
  <si>
    <t>інші додаткові дотації</t>
  </si>
  <si>
    <t>КПКВК 7618700</t>
  </si>
  <si>
    <t>на співфінансування органів місцевого самоврядування області - переможців конкурсів, учасників спільних проектів (програм), державних, міжнародних, громадських організацій (фондів), спрямованих на розвиток місцевого самоврядування, - Швейцарсько-Український проект „Підтримка децентралізації в Україні” DESPRO</t>
  </si>
  <si>
    <t>Святовасилівська сільська рада</t>
  </si>
  <si>
    <t>Вакулівська сільська рада</t>
  </si>
  <si>
    <t>на поліпшення матеріально-технічної бази сільськогосподарських обслуговуючих та виробничих кооперативів</t>
  </si>
  <si>
    <t>м. Дніпро</t>
  </si>
  <si>
    <t>на капітальні видатки та облаштування об’єктів соціально-культурної сфери</t>
  </si>
  <si>
    <t>Показники міжбюджетних трансфертів між обласним бюджетом та іншими бюджетами на 2017 рік</t>
  </si>
  <si>
    <t>КПКВК 1018630</t>
  </si>
  <si>
    <t>на надання державної підтримки особам з особливими освітніми потребами</t>
  </si>
  <si>
    <t>КПКВК 0318510</t>
  </si>
  <si>
    <t>на проведення виборів депутатів місцевих рад та сільських, селищних, міських голів</t>
  </si>
  <si>
    <t xml:space="preserve">                                              З НИХ                                               </t>
  </si>
  <si>
    <t>04521000000</t>
  </si>
  <si>
    <t>Криничанська селищна рада</t>
  </si>
  <si>
    <t>04534000000</t>
  </si>
  <si>
    <t>04527000000</t>
  </si>
  <si>
    <t>Царичанська селищна рада</t>
  </si>
  <si>
    <t xml:space="preserve">Обсяги міжбюджетних трансфертів, що передаються з інших місцевих бюджетів до обласного бюджету </t>
  </si>
  <si>
    <t>субвенція з інших бюджетів на виконання інвестиційних проектів</t>
  </si>
  <si>
    <t>КФКД 41020900</t>
  </si>
  <si>
    <t>КФКД 41034200</t>
  </si>
  <si>
    <t>КФКД 41030300</t>
  </si>
  <si>
    <t>КФКД 41030400</t>
  </si>
  <si>
    <t>КФКД 41035000</t>
  </si>
  <si>
    <t>Медична субвенція з державного бюджету місцевим бюджетам</t>
  </si>
  <si>
    <t>на утримання об’єктів спільного користування чи ліквідацію негативних наслідків діяльності об'єктів спільного користування</t>
  </si>
  <si>
    <t>на виконання інвестиційних проектів</t>
  </si>
  <si>
    <t>на створення і використання матеріальних резервів для запобігання та ліквідації надзвичайних ситуацій техногенного і природного характеру та їх наслідків</t>
  </si>
  <si>
    <t>05100000000</t>
  </si>
  <si>
    <t>Чкаловська сільська рада</t>
  </si>
  <si>
    <t>до рішення обласної ради</t>
  </si>
  <si>
    <t>на реалізацію заходів регіональної Програми забезпечення громадського порядку та громадської безпеки на території  Дніпропетровської області на період до 2020 року</t>
  </si>
  <si>
    <t>КПКВК 6718370</t>
  </si>
  <si>
    <t>КПКВК 7618370</t>
  </si>
  <si>
    <t>Мирівська сільська рада</t>
  </si>
  <si>
    <t>Томаківська селищна рада</t>
  </si>
  <si>
    <t>Васильківська селищна рада</t>
  </si>
  <si>
    <t>04516000000</t>
  </si>
  <si>
    <t>04519000000</t>
  </si>
  <si>
    <t>04526000000</t>
  </si>
  <si>
    <t>КПКВК 6818370</t>
  </si>
  <si>
    <t>на реалізацію заходів Регіональної цільової соціальної програми захисту населення і територій від надзвичайних ситуацій техногенного та природного характеру, забезпечення пожежної безпеки Дніпропетровської області на 2016 – 2020 роки</t>
  </si>
  <si>
    <t>КПКВК 1018610</t>
  </si>
  <si>
    <t>Субвенція за рахунок залишку коштів освітньої субвенції з державного бюджету місцевим бюджетам, що утворився на початок бюджетного періоду</t>
  </si>
  <si>
    <t>на придбання літератури для інклюзивної освіти</t>
  </si>
  <si>
    <t>на оплату праці з нарахуваннями на заробітну плату педагогічних працівників</t>
  </si>
  <si>
    <t>на оновлення матеріально-технічної бази</t>
  </si>
  <si>
    <t>на підтримку інклюзивної освіти</t>
  </si>
  <si>
    <t>на оснащення опорних закладів засобами навчання, впровадження енергозберігаючих технологій</t>
  </si>
  <si>
    <t>04517000000</t>
  </si>
  <si>
    <t>Аульська селищна рада</t>
  </si>
  <si>
    <t>04518000000</t>
  </si>
  <si>
    <t>Божедарівська селищна рада</t>
  </si>
  <si>
    <t>04520000000</t>
  </si>
  <si>
    <t>Вишнівська селищна рада</t>
  </si>
  <si>
    <t>04522000000</t>
  </si>
  <si>
    <t>04523000000</t>
  </si>
  <si>
    <t>04524000000</t>
  </si>
  <si>
    <t>04525000000</t>
  </si>
  <si>
    <t>Лихівська селищна рада</t>
  </si>
  <si>
    <t>Покровська селищна рада</t>
  </si>
  <si>
    <t>Роздорська селищна рада</t>
  </si>
  <si>
    <t>Софіївська селищна рада</t>
  </si>
  <si>
    <t>04528000000</t>
  </si>
  <si>
    <t>04529000000</t>
  </si>
  <si>
    <t>04530000000</t>
  </si>
  <si>
    <t>04531000000</t>
  </si>
  <si>
    <t>04532000000</t>
  </si>
  <si>
    <t>04533000000</t>
  </si>
  <si>
    <t>Варварівська сільська рада</t>
  </si>
  <si>
    <t>Великомихайлівська сільська рада</t>
  </si>
  <si>
    <t>Гречаноподівська сільська рада</t>
  </si>
  <si>
    <t>Маломихайлівська сільська рада</t>
  </si>
  <si>
    <t>Новолатівська сільська рада</t>
  </si>
  <si>
    <t>Новопавлівська сільська рада</t>
  </si>
  <si>
    <t>КПКВК 1418660</t>
  </si>
  <si>
    <t xml:space="preserve">Обсяги міжбюджетних трансфертів, що передаються з обласного бюджету до місцевих бюджетів за рахунок коштів державного бюджету </t>
  </si>
  <si>
    <t>на проведення II Дніпровського  економічного форуму, семінарів та тренінгів з міжнародного співробітництва</t>
  </si>
  <si>
    <t>КПКВК 4018420</t>
  </si>
  <si>
    <t>на фінансування заходів соціально-економічної компенсації ризику населення, яке проживає на території зони спостереження</t>
  </si>
  <si>
    <t>субвенції</t>
  </si>
  <si>
    <t>Шведун</t>
  </si>
  <si>
    <t>КПКВК 4018500</t>
  </si>
  <si>
    <t>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</si>
  <si>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КПКВК 7618440</t>
  </si>
  <si>
    <t>на здійснення заходів щодо соціально-економічного розвитку окремих територій</t>
  </si>
  <si>
    <t>на підготовку і проведення позачергових місцевих виборів</t>
  </si>
  <si>
    <t>на виготовлення органами ведення Державного реєстру виборців списків виборців та іменних запрошень для підготовки і проведення позачергових місцевих виборів</t>
  </si>
  <si>
    <t>КПКВК 1518580</t>
  </si>
  <si>
    <t>КПКВК 0118800</t>
  </si>
  <si>
    <t>КПКВК 5318800</t>
  </si>
  <si>
    <t>КПКВК 4718800</t>
  </si>
  <si>
    <t>на розвиток дорожнього господарства</t>
  </si>
  <si>
    <t>у тому числі</t>
  </si>
  <si>
    <t>на капітальний ремонт вулиць і доріг</t>
  </si>
  <si>
    <t xml:space="preserve">на фінансування переможців обласного конкурсу мікропроектів з енергоефективності та енергозбереження серед органів самоорганізації населення та ОСББ </t>
  </si>
  <si>
    <t xml:space="preserve">на фінансування переможців обласного конкурсу мікропроектів з енергоефективності в житловому секторі </t>
  </si>
  <si>
    <t>КФКД 41035100</t>
  </si>
  <si>
    <t>на фінансування заходів соціально-економічної компенсації ризику населення,  яке проживає на території зони спостереження</t>
  </si>
  <si>
    <t xml:space="preserve">створення ресурсних кімнат для дітей з особливими освітніми потребами, що потребують інклюзивної освіти </t>
  </si>
  <si>
    <t>на капітальний ремонт покрівель</t>
  </si>
  <si>
    <t>КПКВК 1418800</t>
  </si>
  <si>
    <t>на соціально- економічний розвиток</t>
  </si>
  <si>
    <t>КПКВК 4018800</t>
  </si>
  <si>
    <t xml:space="preserve">на відшкодування вартості лікарських засобів для лікування окремих захворювань  </t>
  </si>
  <si>
    <t>за рахунок коштів субвенції з державного бюджету місцевим бюджетам на здійснення заходів щодо соціально-економічного розвитку окремих територій</t>
  </si>
  <si>
    <t>КПКВК 7618390</t>
  </si>
  <si>
    <t>Медична субвенція з державного бюджету</t>
  </si>
  <si>
    <t>КПКВК 1918440</t>
  </si>
  <si>
    <t>КПКВК 1018370</t>
  </si>
  <si>
    <t>на проведення обстежень мешканців міста з профілактики та боротьби за СНІДом</t>
  </si>
  <si>
    <t>на підготовку і проведення повторного голосування з перших виборів депутатів сільських, селищних рад</t>
  </si>
  <si>
    <t>Стабілізаційна дотація</t>
  </si>
  <si>
    <t>КПКВК 7618210</t>
  </si>
  <si>
    <t>на співфінансування об’єктів</t>
  </si>
  <si>
    <t>за рахунок субвенції з державного бюджету місцевим бюджетам на здійснення заходів щодо соціально-економічного розвитку окремих територій</t>
  </si>
  <si>
    <t>Усього</t>
  </si>
  <si>
    <t>С. ОЛІЙНИК</t>
  </si>
  <si>
    <t>м. Кам’янське</t>
  </si>
  <si>
    <t xml:space="preserve">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</si>
  <si>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 оплату послуг із здійснення патронату над дитиною та виплату соціальної допомоги на утримання дитини в сім'ї  патронатного вихователя</t>
  </si>
  <si>
    <t>Додаток 4</t>
  </si>
  <si>
    <t>на підготовку і проведення повторного голосування з перших виборів депутатів сільських, селищних рад об’єднаних територіальних громад</t>
  </si>
  <si>
    <t>на виготовлення органами ведення Державного реєстру виборців списків виборців та іменних запрошень для підготовки і проведення повторного голосування виборів депутатів сільських, селищних рад об’єднаних територіальних громад</t>
  </si>
  <si>
    <t>на підготовку і проведення перших виборів депутатів сільських, селищних, міських рад об’єднаних територіальних громад і відповідних сільських, селищних, міських голів</t>
  </si>
  <si>
    <t>на виготовлення органами ведення Державного реєстру виборців списків виборців та іменних запрошень для підготовки і проведення перших виборів депутатів сільських, селищних, міських рад об’єднаних територіальних громад і відповідних сільських, селищних, міських голів</t>
  </si>
  <si>
    <t>на підтримку об’єднаних територіальних громад (впровадження енергозберігаючих технологій)</t>
  </si>
  <si>
    <t>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пунктами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</si>
  <si>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на реалізацію заходів регіональної цільової соціальної програми „Освіта Дніпропетровщини до 2018 року”</t>
  </si>
  <si>
    <t>на реалізацію заходів програми впровадження державної політики органами виконавчої влади у Дніпропетровській області на
2016 – 2020 роки</t>
  </si>
  <si>
    <t>на підвищення кваліфікації (рівня освіти) окремих працівників закладів охорони здоров’я та органів управління відповідної галузі</t>
  </si>
  <si>
    <t>на виконання Програми виконання доручень виборців депутатами Дніпровської міської ради VII скликання на 2016 – 2020 роки</t>
  </si>
  <si>
    <t>на оплату послуг з приєднання електричних мереж амбулаторій центрів первинної медико-санітарної допомоги міста Кривого Рогу до мереж електропостачальної організації в рамках реалізації субпроекту „Підтримка реформування охорони здоров’я Дніпропетровської області”</t>
  </si>
  <si>
    <t>субвенція  обласному бюджету для Комунального закладу „Дитячий протитуберкульозний санаторій № 5” Дніпропетровської обласної ради” на оплату послуг з монтажу системи блискавкозахисту</t>
  </si>
  <si>
    <t>на оплату послуг за приєднання електроустановок потужністю 900 кВт до електромереж, збільшення потужності (КЗ „Павлоградська міська лікарня № 4” ДОР”)</t>
  </si>
  <si>
    <t>на виконання Програми виконання доручень виборців депутатами Дніпровської міської ради VII скликання 
на 2016 – 2020 роки</t>
  </si>
  <si>
    <t>субвенція з міського бюджету обласному бюджету на придбання обладнання для КЗ „Криворізький психоневрологічний диспансер” ДОР</t>
  </si>
  <si>
    <t>на капітальний ремонт об’єктів соціально-культурної сфери та інфраструктури міста Кам’янське</t>
  </si>
  <si>
    <t>на капітальний ремонт об’єктів соціально-культурної сфери</t>
  </si>
  <si>
    <t>субвенції з обласного бюджету бюджетам міст, районів та об’єднаних територіальних громад на виконання доручень виборців депутатами обласної ради
у 2017 році</t>
  </si>
  <si>
    <t>на реалізацію заходів регіональної Програми забезпечення громадського порядку та громадської безпеки на території  Дніпропетровської області на період
до 2020 року</t>
  </si>
  <si>
    <t>на фінансування переможців обласного конкурсу проектів і програм розвитку місцевого самоврядування
2017 року</t>
  </si>
  <si>
    <t>субвенція  обласному бюджету для комунального закладу „Дитячий протитуберкульозний санаторій
№ 5” Дніпропетровської обласної ради” на улаштування гумового покриття дитячого майданчика, поточний ремонт овочесховища, завершення капітального ремонту внутрішніх приміщень (приміщень дитячої групи № 1), розробку проектно-кошторисної документації та проходження експертизи з капітального ремонту  будівлі, харчоблоку та благоустрою території, проведення капітального ремонту харчоблоку</t>
  </si>
  <si>
    <t>на відшкодування витрат за житлово-комунальні послуги та за тимчасове проживання внутрішньо переміщених осіб (вимушених переселенців)
у м. Дніпрі</t>
  </si>
  <si>
    <t>субвенція з міського бюджету до обласного бюджету на поточний ремонт санітарних автомобілів
КЗ „Криворізька станція швидкої медичної допомоги” ДОР”</t>
  </si>
  <si>
    <t xml:space="preserve">на виконання Дніпропетровської обласної комплексної програми (стратегії) екологічної безпеки та запобігання змінам клімату
на 2016 – 2025 роки </t>
  </si>
  <si>
    <t>для підтримки статутної діяльності ДП
„Перещепинетеплоенерго” КП” ДТЕ” ДОР</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</si>
</sst>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0"/>
      <name val="Arial"/>
      <family val="2"/>
      <charset val="204"/>
    </font>
    <font>
      <sz val="10"/>
      <name val="Arial Cyr"/>
      <family val="2"/>
      <charset val="204"/>
    </font>
    <font>
      <sz val="56"/>
      <name val="Arial Cyr"/>
      <family val="2"/>
      <charset val="204"/>
    </font>
    <font>
      <sz val="50"/>
      <name val="Times New Roman"/>
      <family val="1"/>
      <charset val="204"/>
    </font>
    <font>
      <sz val="22"/>
      <name val="Times New Roman"/>
      <family val="1"/>
      <charset val="204"/>
    </font>
    <font>
      <b/>
      <sz val="48"/>
      <name val="Times New Roman"/>
      <family val="1"/>
      <charset val="204"/>
    </font>
    <font>
      <sz val="56"/>
      <name val="Times New Roman"/>
      <family val="1"/>
      <charset val="204"/>
    </font>
    <font>
      <sz val="26"/>
      <name val="Times New Roman"/>
      <family val="1"/>
      <charset val="204"/>
    </font>
    <font>
      <sz val="44"/>
      <name val="Times New Roman"/>
      <family val="1"/>
      <charset val="204"/>
    </font>
    <font>
      <sz val="42"/>
      <name val="Times New Roman"/>
      <family val="1"/>
      <charset val="204"/>
    </font>
    <font>
      <sz val="11"/>
      <name val="Arial Cyr"/>
      <family val="2"/>
      <charset val="204"/>
    </font>
    <font>
      <i/>
      <sz val="44"/>
      <name val="Times New Roman"/>
      <family val="1"/>
      <charset val="204"/>
    </font>
    <font>
      <sz val="46"/>
      <name val="Times New Roman"/>
      <family val="1"/>
      <charset val="204"/>
    </font>
    <font>
      <sz val="46"/>
      <color indexed="9"/>
      <name val="Times New Roman"/>
      <family val="1"/>
      <charset val="204"/>
    </font>
    <font>
      <sz val="46"/>
      <name val="Times New Roman Cyr"/>
      <family val="1"/>
      <charset val="204"/>
    </font>
    <font>
      <b/>
      <sz val="10"/>
      <name val="Arial Cyr"/>
      <family val="2"/>
      <charset val="204"/>
    </font>
    <font>
      <sz val="28"/>
      <name val="Times New Roman"/>
      <family val="1"/>
      <charset val="204"/>
    </font>
    <font>
      <sz val="40"/>
      <name val="Bookman Old Style"/>
      <family val="1"/>
      <charset val="204"/>
    </font>
    <font>
      <sz val="40"/>
      <name val="Arial Cyr"/>
      <family val="2"/>
      <charset val="204"/>
    </font>
    <font>
      <sz val="20"/>
      <name val="Arial Cyr"/>
      <family val="2"/>
      <charset val="204"/>
    </font>
    <font>
      <sz val="10"/>
      <name val="Arial"/>
      <family val="2"/>
      <charset val="204"/>
    </font>
    <font>
      <b/>
      <sz val="52"/>
      <name val="Times New Roman"/>
      <family val="1"/>
      <charset val="204"/>
    </font>
    <font>
      <sz val="50"/>
      <name val="Arial Cyr"/>
      <family val="2"/>
      <charset val="204"/>
    </font>
    <font>
      <sz val="52"/>
      <name val="Times New Roman"/>
      <family val="1"/>
      <charset val="204"/>
    </font>
    <font>
      <sz val="10"/>
      <color indexed="8"/>
      <name val="Arial"/>
      <family val="2"/>
      <charset val="204"/>
    </font>
    <font>
      <b/>
      <sz val="65"/>
      <name val="Times New Roman"/>
      <family val="1"/>
      <charset val="204"/>
    </font>
    <font>
      <sz val="65"/>
      <name val="Arial Cyr"/>
      <family val="2"/>
      <charset val="204"/>
    </font>
    <font>
      <b/>
      <sz val="36"/>
      <color indexed="81"/>
      <name val="Times New Roman"/>
      <family val="1"/>
      <charset val="204"/>
    </font>
    <font>
      <sz val="36"/>
      <color indexed="81"/>
      <name val="Times New Roman"/>
      <family val="1"/>
      <charset val="204"/>
    </font>
  </fonts>
  <fills count="2">
    <fill>
      <patternFill patternType="none"/>
    </fill>
    <fill>
      <patternFill patternType="gray125"/>
    </fill>
  </fills>
  <borders count="12">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20" fillId="0" borderId="0"/>
    <xf numFmtId="0" fontId="24" fillId="0" borderId="0">
      <alignment vertical="top"/>
    </xf>
    <xf numFmtId="0" fontId="20" fillId="0" borderId="0"/>
    <xf numFmtId="0" fontId="20" fillId="0" borderId="0"/>
    <xf numFmtId="0" fontId="20" fillId="0" borderId="0"/>
  </cellStyleXfs>
  <cellXfs count="86">
    <xf numFmtId="0" fontId="0" fillId="0" borderId="0" xfId="0"/>
    <xf numFmtId="0" fontId="2" fillId="0" borderId="0" xfId="0" applyFont="1" applyFill="1"/>
    <xf numFmtId="0" fontId="1" fillId="0" borderId="0" xfId="0" applyFont="1" applyFill="1"/>
    <xf numFmtId="0" fontId="22" fillId="0" borderId="0" xfId="0" applyFont="1" applyFill="1"/>
    <xf numFmtId="0" fontId="1" fillId="0" borderId="0" xfId="0" applyFont="1" applyFill="1" applyAlignment="1"/>
    <xf numFmtId="0" fontId="4" fillId="0" borderId="0" xfId="0" applyFont="1" applyFill="1" applyAlignment="1">
      <alignment wrapText="1"/>
    </xf>
    <xf numFmtId="0" fontId="2" fillId="0" borderId="0" xfId="0" applyFont="1" applyFill="1" applyAlignment="1">
      <alignment horizontal="center"/>
    </xf>
    <xf numFmtId="0" fontId="5" fillId="0" borderId="0" xfId="0" applyFont="1" applyFill="1" applyAlignment="1">
      <alignment horizontal="center"/>
    </xf>
    <xf numFmtId="0" fontId="6" fillId="0" borderId="0" xfId="0" applyFont="1" applyFill="1" applyAlignment="1">
      <alignment horizontal="right"/>
    </xf>
    <xf numFmtId="0" fontId="3" fillId="0" borderId="0" xfId="0" applyFont="1" applyFill="1" applyAlignment="1">
      <alignment horizontal="right"/>
    </xf>
    <xf numFmtId="0" fontId="7" fillId="0" borderId="0" xfId="0" applyFont="1" applyFill="1" applyAlignment="1">
      <alignment horizontal="right"/>
    </xf>
    <xf numFmtId="0" fontId="10" fillId="0" borderId="1" xfId="0" applyFont="1" applyFill="1" applyBorder="1"/>
    <xf numFmtId="0" fontId="11" fillId="0" borderId="2" xfId="0" applyFont="1" applyFill="1" applyBorder="1" applyAlignment="1">
      <alignment horizontal="center" vertical="center" wrapText="1"/>
    </xf>
    <xf numFmtId="0" fontId="10" fillId="0" borderId="0" xfId="0" applyFont="1" applyFill="1"/>
    <xf numFmtId="49" fontId="8" fillId="0" borderId="3" xfId="0" applyNumberFormat="1" applyFont="1" applyFill="1" applyBorder="1" applyAlignment="1">
      <alignment horizontal="center"/>
    </xf>
    <xf numFmtId="0" fontId="8" fillId="0" borderId="4" xfId="0" applyFont="1" applyFill="1" applyBorder="1" applyAlignment="1">
      <alignment vertical="center" wrapText="1"/>
    </xf>
    <xf numFmtId="0" fontId="1" fillId="0" borderId="1" xfId="0" applyFont="1" applyFill="1" applyBorder="1"/>
    <xf numFmtId="0" fontId="15" fillId="0" borderId="1" xfId="0" applyFont="1" applyFill="1" applyBorder="1"/>
    <xf numFmtId="0" fontId="8" fillId="0" borderId="0" xfId="0" applyFont="1" applyFill="1" applyBorder="1" applyAlignment="1">
      <alignment horizontal="center"/>
    </xf>
    <xf numFmtId="0" fontId="9" fillId="0" borderId="0" xfId="0" applyFont="1" applyFill="1" applyBorder="1" applyAlignment="1">
      <alignment vertical="center"/>
    </xf>
    <xf numFmtId="3" fontId="12" fillId="0" borderId="0" xfId="0" applyNumberFormat="1" applyFont="1" applyFill="1" applyBorder="1" applyAlignment="1">
      <alignment vertical="center"/>
    </xf>
    <xf numFmtId="3" fontId="12" fillId="0" borderId="0" xfId="0" applyNumberFormat="1" applyFont="1" applyFill="1" applyBorder="1" applyAlignment="1">
      <alignment horizontal="right" vertical="center"/>
    </xf>
    <xf numFmtId="0" fontId="15" fillId="0" borderId="0" xfId="0" applyFont="1" applyFill="1" applyBorder="1"/>
    <xf numFmtId="0" fontId="17" fillId="0" borderId="0" xfId="0" applyFont="1" applyFill="1"/>
    <xf numFmtId="3" fontId="16" fillId="0" borderId="0" xfId="0" applyNumberFormat="1" applyFont="1" applyFill="1" applyBorder="1" applyAlignment="1">
      <alignment horizontal="right"/>
    </xf>
    <xf numFmtId="0" fontId="18" fillId="0" borderId="0" xfId="0" applyFont="1" applyFill="1"/>
    <xf numFmtId="0" fontId="19" fillId="0" borderId="0" xfId="0" applyFont="1" applyFill="1"/>
    <xf numFmtId="3" fontId="1" fillId="0" borderId="0" xfId="0" applyNumberFormat="1" applyFont="1" applyFill="1"/>
    <xf numFmtId="0" fontId="1" fillId="0" borderId="0" xfId="0" applyFont="1" applyFill="1" applyBorder="1"/>
    <xf numFmtId="0" fontId="9" fillId="0" borderId="2" xfId="0" applyFont="1" applyFill="1" applyBorder="1" applyAlignment="1">
      <alignment vertical="center" wrapText="1"/>
    </xf>
    <xf numFmtId="3" fontId="25" fillId="0" borderId="0" xfId="0" applyNumberFormat="1" applyFont="1" applyFill="1" applyBorder="1" applyAlignment="1">
      <alignment wrapText="1"/>
    </xf>
    <xf numFmtId="0" fontId="26" fillId="0" borderId="0" xfId="0" applyFont="1" applyFill="1"/>
    <xf numFmtId="0" fontId="25" fillId="0" borderId="0" xfId="0" applyFont="1" applyFill="1" applyAlignment="1">
      <alignment horizontal="right"/>
    </xf>
    <xf numFmtId="4" fontId="12" fillId="0" borderId="2" xfId="0" applyNumberFormat="1" applyFont="1" applyFill="1" applyBorder="1" applyAlignment="1">
      <alignment vertical="center"/>
    </xf>
    <xf numFmtId="4" fontId="12" fillId="0" borderId="2" xfId="0" applyNumberFormat="1" applyFont="1" applyFill="1" applyBorder="1" applyAlignment="1">
      <alignment horizontal="right" vertical="center"/>
    </xf>
    <xf numFmtId="4" fontId="14" fillId="0" borderId="2" xfId="0" applyNumberFormat="1" applyFont="1" applyFill="1" applyBorder="1" applyAlignment="1">
      <alignment vertical="center"/>
    </xf>
    <xf numFmtId="0" fontId="10" fillId="0" borderId="5" xfId="0" applyFont="1" applyFill="1" applyBorder="1"/>
    <xf numFmtId="0" fontId="8" fillId="0" borderId="2" xfId="0" applyFont="1" applyFill="1" applyBorder="1" applyAlignment="1">
      <alignment horizontal="center" vertical="center" wrapText="1"/>
    </xf>
    <xf numFmtId="0" fontId="11" fillId="0" borderId="2" xfId="0" applyFont="1" applyFill="1" applyBorder="1" applyAlignment="1">
      <alignment vertical="center" wrapText="1"/>
    </xf>
    <xf numFmtId="4" fontId="13" fillId="0" borderId="2" xfId="0" applyNumberFormat="1" applyFont="1" applyFill="1" applyBorder="1" applyAlignment="1">
      <alignment vertical="center"/>
    </xf>
    <xf numFmtId="3" fontId="25" fillId="0" borderId="0" xfId="0" applyNumberFormat="1" applyFont="1" applyFill="1" applyBorder="1" applyAlignment="1">
      <alignment horizontal="left" wrapText="1"/>
    </xf>
    <xf numFmtId="0" fontId="5" fillId="0" borderId="0" xfId="0" applyFont="1" applyFill="1" applyBorder="1" applyAlignment="1">
      <alignment horizontal="center"/>
    </xf>
    <xf numFmtId="0" fontId="6" fillId="0" borderId="0" xfId="0" applyFont="1" applyFill="1" applyBorder="1" applyAlignment="1">
      <alignment horizontal="right"/>
    </xf>
    <xf numFmtId="4" fontId="12" fillId="0" borderId="6" xfId="0" applyNumberFormat="1" applyFont="1" applyFill="1" applyBorder="1" applyAlignment="1">
      <alignment vertical="center"/>
    </xf>
    <xf numFmtId="4" fontId="12" fillId="0" borderId="6" xfId="0" applyNumberFormat="1" applyFont="1" applyFill="1" applyBorder="1" applyAlignment="1">
      <alignment horizontal="right" vertical="center"/>
    </xf>
    <xf numFmtId="0" fontId="8" fillId="0" borderId="2" xfId="0" applyFont="1" applyFill="1" applyBorder="1" applyAlignment="1">
      <alignment vertical="center" wrapText="1"/>
    </xf>
    <xf numFmtId="0" fontId="25" fillId="0" borderId="0" xfId="0" applyFont="1" applyFill="1" applyAlignment="1">
      <alignment horizontal="left"/>
    </xf>
    <xf numFmtId="4" fontId="14" fillId="0" borderId="6" xfId="0" applyNumberFormat="1" applyFont="1" applyFill="1" applyBorder="1" applyAlignment="1">
      <alignment vertical="center"/>
    </xf>
    <xf numFmtId="0" fontId="23" fillId="0" borderId="0" xfId="0" applyNumberFormat="1" applyFont="1" applyFill="1" applyAlignment="1" applyProtection="1">
      <alignment horizontal="left" vertical="center" wrapText="1"/>
    </xf>
    <xf numFmtId="0" fontId="8" fillId="0" borderId="7" xfId="0" applyFont="1" applyFill="1" applyBorder="1" applyAlignment="1">
      <alignment vertical="center" wrapText="1"/>
    </xf>
    <xf numFmtId="0" fontId="9" fillId="0" borderId="2" xfId="0" applyFont="1" applyFill="1" applyBorder="1" applyAlignment="1">
      <alignment horizontal="center" vertical="center" wrapText="1"/>
    </xf>
    <xf numFmtId="0" fontId="25" fillId="0" borderId="0" xfId="0" applyFont="1" applyFill="1" applyAlignment="1"/>
    <xf numFmtId="0" fontId="21" fillId="0" borderId="0" xfId="0" applyFont="1" applyFill="1" applyAlignment="1"/>
    <xf numFmtId="3" fontId="25" fillId="0" borderId="0" xfId="0" applyNumberFormat="1" applyFont="1" applyFill="1" applyBorder="1" applyAlignment="1">
      <alignment horizontal="left" wrapText="1"/>
    </xf>
    <xf numFmtId="0" fontId="8" fillId="0" borderId="2" xfId="5" applyFont="1" applyFill="1" applyBorder="1" applyAlignment="1">
      <alignment horizontal="center" vertical="center" wrapText="1"/>
    </xf>
    <xf numFmtId="0" fontId="25" fillId="0" borderId="0" xfId="0" applyFont="1" applyFill="1" applyAlignment="1">
      <alignment horizontal="left"/>
    </xf>
    <xf numFmtId="0" fontId="8" fillId="0" borderId="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6" xfId="0"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2" xfId="0" applyFont="1" applyFill="1" applyBorder="1" applyAlignment="1">
      <alignment horizontal="center" vertical="center" wrapText="1"/>
    </xf>
    <xf numFmtId="2" fontId="8" fillId="0" borderId="8" xfId="0" applyNumberFormat="1" applyFont="1" applyFill="1" applyBorder="1" applyAlignment="1">
      <alignment horizontal="center" vertical="center" wrapText="1"/>
    </xf>
    <xf numFmtId="2" fontId="8" fillId="0" borderId="9" xfId="0" applyNumberFormat="1" applyFont="1" applyFill="1" applyBorder="1" applyAlignment="1">
      <alignment horizontal="center" vertical="center" wrapText="1"/>
    </xf>
    <xf numFmtId="2" fontId="8" fillId="0" borderId="6" xfId="0" applyNumberFormat="1" applyFont="1" applyFill="1" applyBorder="1" applyAlignment="1">
      <alignment horizontal="center" vertical="center" wrapText="1"/>
    </xf>
    <xf numFmtId="0" fontId="0" fillId="0" borderId="9" xfId="0" applyFill="1" applyBorder="1" applyAlignment="1">
      <alignment vertical="center" wrapText="1"/>
    </xf>
    <xf numFmtId="0" fontId="11" fillId="0" borderId="7"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9" xfId="0" applyFont="1" applyFill="1" applyBorder="1" applyAlignment="1">
      <alignment horizontal="center" vertical="center" wrapText="1"/>
    </xf>
    <xf numFmtId="2" fontId="11" fillId="0" borderId="7" xfId="0" applyNumberFormat="1" applyFont="1" applyFill="1" applyBorder="1" applyAlignment="1">
      <alignment horizontal="center" vertical="center"/>
    </xf>
    <xf numFmtId="2" fontId="11" fillId="0" borderId="10" xfId="0" applyNumberFormat="1" applyFont="1" applyFill="1" applyBorder="1" applyAlignment="1">
      <alignment horizontal="center" vertical="center"/>
    </xf>
    <xf numFmtId="2" fontId="11" fillId="0" borderId="11" xfId="0" applyNumberFormat="1" applyFont="1" applyFill="1" applyBorder="1" applyAlignment="1">
      <alignment horizontal="center" vertical="center"/>
    </xf>
    <xf numFmtId="0" fontId="8" fillId="0" borderId="8" xfId="5" applyFont="1" applyFill="1" applyBorder="1" applyAlignment="1">
      <alignment horizontal="center" vertical="center" wrapText="1"/>
    </xf>
    <xf numFmtId="0" fontId="8" fillId="0" borderId="9" xfId="5" applyFont="1" applyFill="1" applyBorder="1" applyAlignment="1">
      <alignment horizontal="center" vertical="center" wrapText="1"/>
    </xf>
    <xf numFmtId="0" fontId="8" fillId="0" borderId="6" xfId="5" applyFont="1" applyFill="1" applyBorder="1" applyAlignment="1">
      <alignment horizontal="center" vertical="center" wrapText="1"/>
    </xf>
  </cellXfs>
  <cellStyles count="6">
    <cellStyle name="Normal_Доходи" xfId="1"/>
    <cellStyle name="Звичайний_Додаток _ 3 зм_ни 4575" xfId="2"/>
    <cellStyle name="Обычный" xfId="0" builtinId="0"/>
    <cellStyle name="Обычный 2" xfId="3"/>
    <cellStyle name="Обычный 4" xfId="4"/>
    <cellStyle name="Обычный_Додаток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N246"/>
  <sheetViews>
    <sheetView showZeros="0" tabSelected="1" view="pageBreakPreview" zoomScale="20" zoomScaleNormal="25" zoomScaleSheetLayoutView="20" workbookViewId="0">
      <pane xSplit="2" ySplit="11" topLeftCell="AQ66" activePane="bottomRight" state="frozen"/>
      <selection pane="topRight" activeCell="C1" sqref="C1"/>
      <selection pane="bottomLeft" activeCell="A14" sqref="A14"/>
      <selection pane="bottomRight" activeCell="AV21" sqref="AV21"/>
    </sheetView>
  </sheetViews>
  <sheetFormatPr defaultRowHeight="12.75" x14ac:dyDescent="0.2"/>
  <cols>
    <col min="1" max="1" width="52.28515625" style="2" customWidth="1"/>
    <col min="2" max="2" width="139.85546875" style="2" customWidth="1"/>
    <col min="3" max="3" width="132.7109375" style="2" customWidth="1"/>
    <col min="4" max="4" width="99.140625" style="2" customWidth="1"/>
    <col min="5" max="5" width="138.7109375" style="2" customWidth="1"/>
    <col min="6" max="6" width="168" style="2" customWidth="1"/>
    <col min="7" max="7" width="162.85546875" style="2" customWidth="1"/>
    <col min="8" max="8" width="153.5703125" style="2" customWidth="1"/>
    <col min="9" max="9" width="106.42578125" style="2" customWidth="1"/>
    <col min="10" max="11" width="90" style="2" customWidth="1"/>
    <col min="12" max="12" width="210" style="2" customWidth="1"/>
    <col min="13" max="13" width="62.140625" style="2" customWidth="1"/>
    <col min="14" max="14" width="55.7109375" style="2" customWidth="1"/>
    <col min="15" max="15" width="82.140625" style="2" customWidth="1"/>
    <col min="16" max="16" width="82.85546875" style="2" customWidth="1"/>
    <col min="17" max="17" width="108.5703125" style="2" customWidth="1"/>
    <col min="18" max="18" width="85.7109375" style="2" customWidth="1"/>
    <col min="19" max="19" width="78.5703125" style="2" customWidth="1"/>
    <col min="20" max="20" width="122.85546875" style="2" customWidth="1"/>
    <col min="21" max="21" width="94.28515625" style="2" customWidth="1"/>
    <col min="22" max="22" width="63.5703125" style="2" customWidth="1"/>
    <col min="23" max="23" width="61.42578125" style="2" customWidth="1"/>
    <col min="24" max="24" width="57.85546875" style="2" customWidth="1"/>
    <col min="25" max="25" width="55" style="2" customWidth="1"/>
    <col min="26" max="26" width="70.7109375" style="2" customWidth="1"/>
    <col min="27" max="27" width="71.42578125" style="2" customWidth="1"/>
    <col min="28" max="28" width="75.7109375" style="2" customWidth="1"/>
    <col min="29" max="29" width="77.140625" style="2" customWidth="1"/>
    <col min="30" max="30" width="71.42578125" style="2" customWidth="1"/>
    <col min="31" max="31" width="69.28515625" style="2" customWidth="1"/>
    <col min="32" max="32" width="70" style="2" customWidth="1"/>
    <col min="33" max="33" width="200" style="2" customWidth="1"/>
    <col min="34" max="34" width="69.28515625" style="2" customWidth="1"/>
    <col min="35" max="35" width="77.140625" style="2" customWidth="1"/>
    <col min="36" max="36" width="215" style="2" customWidth="1"/>
    <col min="37" max="37" width="85" style="2" customWidth="1"/>
    <col min="38" max="38" width="92.85546875" style="2" customWidth="1"/>
    <col min="39" max="39" width="116.42578125" style="2" customWidth="1"/>
    <col min="40" max="40" width="105.7109375" style="2" customWidth="1"/>
    <col min="41" max="42" width="65.7109375" style="2" customWidth="1"/>
    <col min="43" max="43" width="75" style="2" customWidth="1"/>
    <col min="44" max="44" width="89.28515625" style="2" customWidth="1"/>
    <col min="45" max="45" width="110" style="2" customWidth="1"/>
    <col min="46" max="46" width="105.7109375" style="2" customWidth="1"/>
    <col min="47" max="47" width="76.28515625" style="2" customWidth="1"/>
    <col min="48" max="48" width="87.85546875" style="2" customWidth="1"/>
    <col min="49" max="49" width="97.140625" style="2" customWidth="1"/>
    <col min="50" max="50" width="82.85546875" style="2" customWidth="1"/>
    <col min="51" max="51" width="74.28515625" style="2" customWidth="1"/>
    <col min="52" max="52" width="108.5703125" style="2" customWidth="1"/>
    <col min="53" max="53" width="148.5703125" style="2" customWidth="1"/>
    <col min="54" max="54" width="76.42578125" style="2" customWidth="1"/>
    <col min="55" max="55" width="75.7109375" style="2" customWidth="1"/>
    <col min="56" max="56" width="83.5703125" style="2" customWidth="1"/>
    <col min="57" max="57" width="69.28515625" style="2" customWidth="1"/>
    <col min="58" max="58" width="91.85546875" style="2" customWidth="1"/>
    <col min="59" max="59" width="65.5703125" style="2" customWidth="1"/>
    <col min="60" max="60" width="67.7109375" style="2" customWidth="1"/>
    <col min="61" max="61" width="84.85546875" style="2" customWidth="1"/>
    <col min="62" max="62" width="99.140625" style="2" customWidth="1"/>
    <col min="63" max="63" width="128.42578125" style="2" customWidth="1"/>
    <col min="64" max="64" width="97.140625" style="2" customWidth="1"/>
    <col min="65" max="65" width="84.28515625" style="2" customWidth="1"/>
    <col min="66" max="66" width="66.42578125" style="2" customWidth="1"/>
    <col min="67" max="67" width="110.7109375" style="2" customWidth="1"/>
    <col min="68" max="68" width="185" style="2" customWidth="1"/>
    <col min="69" max="69" width="90.7109375" style="2" customWidth="1"/>
    <col min="70" max="70" width="83.5703125" style="2" customWidth="1"/>
    <col min="71" max="71" width="70.7109375" style="2" customWidth="1"/>
    <col min="72" max="72" width="75.7109375" style="2" customWidth="1"/>
    <col min="73" max="73" width="92.140625" style="2" customWidth="1"/>
    <col min="74" max="74" width="85.7109375" style="2" customWidth="1"/>
    <col min="75" max="75" width="79.28515625" style="2" customWidth="1"/>
    <col min="76" max="76" width="82.140625" style="2" customWidth="1"/>
    <col min="77" max="77" width="190.7109375" style="2" customWidth="1"/>
    <col min="78" max="78" width="77.85546875" style="2" customWidth="1"/>
    <col min="79" max="79" width="51.42578125" style="2" customWidth="1"/>
    <col min="80" max="80" width="75" style="2" customWidth="1"/>
    <col min="81" max="81" width="79.28515625" style="2" customWidth="1"/>
    <col min="82" max="85" width="90.7109375" style="2" customWidth="1"/>
    <col min="86" max="86" width="97.140625" style="2" customWidth="1"/>
    <col min="87" max="87" width="87.140625" style="2" customWidth="1"/>
    <col min="88" max="89" width="9.140625" style="2"/>
    <col min="90" max="90" width="76.28515625" style="2" customWidth="1"/>
    <col min="91" max="91" width="59.140625" style="2" customWidth="1"/>
    <col min="92" max="16384" width="9.140625" style="2"/>
  </cols>
  <sheetData>
    <row r="1" spans="1:92" ht="69" x14ac:dyDescent="0.85">
      <c r="A1" s="1"/>
      <c r="B1" s="1"/>
      <c r="C1" s="1"/>
      <c r="D1" s="1"/>
      <c r="G1" s="48" t="s">
        <v>251</v>
      </c>
      <c r="AV1" s="3"/>
      <c r="AW1" s="3"/>
      <c r="AX1" s="3"/>
      <c r="AY1" s="3"/>
      <c r="AZ1" s="3"/>
      <c r="BA1" s="3"/>
      <c r="BB1" s="3"/>
      <c r="BC1" s="3"/>
      <c r="BD1" s="3"/>
      <c r="BE1" s="3"/>
    </row>
    <row r="2" spans="1:92" ht="69" x14ac:dyDescent="0.85">
      <c r="A2" s="1"/>
      <c r="B2" s="1"/>
      <c r="C2" s="1"/>
      <c r="D2" s="1"/>
      <c r="G2" s="48" t="s">
        <v>160</v>
      </c>
      <c r="AV2" s="3"/>
      <c r="AW2" s="3"/>
      <c r="AX2" s="3"/>
      <c r="AY2" s="3"/>
      <c r="AZ2" s="3"/>
      <c r="BA2" s="3"/>
      <c r="BB2" s="3"/>
      <c r="BC2" s="3"/>
      <c r="BD2" s="3"/>
      <c r="BE2" s="3"/>
    </row>
    <row r="3" spans="1:92" ht="90" customHeight="1" x14ac:dyDescent="0.85">
      <c r="A3" s="6"/>
      <c r="C3" s="52" t="s">
        <v>136</v>
      </c>
      <c r="D3" s="52"/>
      <c r="E3" s="52"/>
      <c r="F3" s="52"/>
      <c r="G3" s="52"/>
      <c r="H3" s="7"/>
      <c r="I3" s="7"/>
      <c r="J3" s="7"/>
      <c r="K3" s="7"/>
      <c r="L3" s="7"/>
      <c r="M3" s="7"/>
      <c r="N3" s="7"/>
      <c r="O3" s="7"/>
      <c r="P3" s="7"/>
      <c r="Q3" s="7"/>
      <c r="R3" s="7"/>
      <c r="S3" s="7"/>
      <c r="T3" s="7"/>
      <c r="U3" s="41"/>
      <c r="V3" s="41"/>
      <c r="W3" s="41"/>
      <c r="X3" s="41"/>
      <c r="Y3" s="41"/>
      <c r="Z3" s="41"/>
      <c r="AA3" s="41"/>
      <c r="AB3" s="41"/>
      <c r="AC3" s="41"/>
      <c r="AD3" s="41"/>
      <c r="AE3" s="7"/>
      <c r="AF3" s="7"/>
      <c r="AG3" s="7"/>
      <c r="AH3" s="7"/>
      <c r="AI3" s="7"/>
      <c r="AJ3" s="7"/>
      <c r="AK3" s="7"/>
      <c r="AL3" s="7"/>
      <c r="AM3" s="7"/>
      <c r="AN3" s="7"/>
      <c r="AO3" s="7"/>
      <c r="AP3" s="7"/>
      <c r="AQ3" s="7"/>
      <c r="AR3" s="7"/>
      <c r="AS3" s="7"/>
      <c r="AT3" s="7"/>
      <c r="AU3" s="5"/>
      <c r="AV3" s="5"/>
      <c r="AW3" s="5"/>
      <c r="AX3" s="5"/>
      <c r="AY3" s="5"/>
      <c r="AZ3" s="5"/>
      <c r="BA3" s="5"/>
      <c r="BB3" s="5"/>
      <c r="BC3" s="5"/>
      <c r="BD3" s="5"/>
      <c r="BE3" s="5"/>
      <c r="BF3" s="4"/>
    </row>
    <row r="4" spans="1:92" s="10" customFormat="1" ht="62.25" customHeight="1" x14ac:dyDescent="1">
      <c r="A4" s="8"/>
      <c r="B4" s="8"/>
      <c r="C4" s="8"/>
      <c r="D4" s="8"/>
      <c r="E4" s="9"/>
      <c r="F4" s="8"/>
      <c r="G4" s="8" t="s">
        <v>0</v>
      </c>
      <c r="H4" s="8"/>
      <c r="I4" s="8"/>
      <c r="J4" s="8"/>
      <c r="K4" s="8"/>
      <c r="L4" s="8" t="s">
        <v>0</v>
      </c>
      <c r="M4" s="8"/>
      <c r="N4" s="8"/>
      <c r="O4" s="8"/>
      <c r="P4" s="8"/>
      <c r="Q4" s="8"/>
      <c r="R4" s="8"/>
      <c r="S4" s="8"/>
      <c r="T4" s="8" t="s">
        <v>0</v>
      </c>
      <c r="U4" s="42"/>
      <c r="V4" s="42"/>
      <c r="W4" s="42"/>
      <c r="X4" s="42"/>
      <c r="Y4" s="42"/>
      <c r="Z4" s="42"/>
      <c r="AA4" s="42"/>
      <c r="AB4" s="42"/>
      <c r="AC4" s="42"/>
      <c r="AD4" s="42" t="s">
        <v>0</v>
      </c>
      <c r="AF4" s="8"/>
      <c r="AG4" s="8"/>
      <c r="AH4" s="8"/>
      <c r="AI4" s="8"/>
      <c r="AJ4" s="8" t="s">
        <v>0</v>
      </c>
      <c r="AK4" s="8"/>
      <c r="AL4" s="8"/>
      <c r="AM4" s="8"/>
      <c r="AN4" s="8"/>
      <c r="AO4" s="8"/>
      <c r="AP4" s="8"/>
      <c r="AQ4" s="8"/>
      <c r="AR4" s="8" t="s">
        <v>0</v>
      </c>
      <c r="AS4" s="8"/>
      <c r="AT4" s="8"/>
      <c r="AU4" s="8"/>
      <c r="AX4" s="8"/>
      <c r="AY4" s="8" t="s">
        <v>0</v>
      </c>
      <c r="AZ4" s="8"/>
      <c r="BA4" s="8"/>
      <c r="BB4" s="8"/>
      <c r="BC4" s="8"/>
      <c r="BD4" s="8"/>
      <c r="BE4" s="8"/>
      <c r="BF4" s="8" t="s">
        <v>0</v>
      </c>
      <c r="BM4" s="8" t="s">
        <v>0</v>
      </c>
      <c r="BT4" s="8" t="s">
        <v>0</v>
      </c>
      <c r="BU4" s="8"/>
      <c r="CA4" s="8" t="s">
        <v>0</v>
      </c>
      <c r="CI4" s="8" t="s">
        <v>0</v>
      </c>
    </row>
    <row r="5" spans="1:92" s="11" customFormat="1" ht="191.25" customHeight="1" x14ac:dyDescent="0.2">
      <c r="A5" s="56" t="s">
        <v>1</v>
      </c>
      <c r="B5" s="56" t="s">
        <v>54</v>
      </c>
      <c r="C5" s="50" t="s">
        <v>2</v>
      </c>
      <c r="D5" s="56" t="s">
        <v>91</v>
      </c>
      <c r="E5" s="56"/>
      <c r="F5" s="56"/>
      <c r="G5" s="56"/>
      <c r="H5" s="56" t="s">
        <v>91</v>
      </c>
      <c r="I5" s="56"/>
      <c r="J5" s="56"/>
      <c r="K5" s="56"/>
      <c r="L5" s="56"/>
      <c r="M5" s="64" t="s">
        <v>91</v>
      </c>
      <c r="N5" s="66"/>
      <c r="O5" s="66"/>
      <c r="P5" s="66"/>
      <c r="Q5" s="66"/>
      <c r="R5" s="66"/>
      <c r="S5" s="66"/>
      <c r="T5" s="65"/>
      <c r="U5" s="56" t="s">
        <v>206</v>
      </c>
      <c r="V5" s="56"/>
      <c r="W5" s="56"/>
      <c r="X5" s="56"/>
      <c r="Y5" s="56"/>
      <c r="Z5" s="56"/>
      <c r="AA5" s="56"/>
      <c r="AB5" s="56"/>
      <c r="AC5" s="56"/>
      <c r="AD5" s="56"/>
      <c r="AE5" s="56" t="s">
        <v>206</v>
      </c>
      <c r="AF5" s="56"/>
      <c r="AG5" s="56"/>
      <c r="AH5" s="56"/>
      <c r="AI5" s="56"/>
      <c r="AJ5" s="56"/>
      <c r="AK5" s="56" t="s">
        <v>2</v>
      </c>
      <c r="AL5" s="56"/>
      <c r="AM5" s="56"/>
      <c r="AN5" s="56"/>
      <c r="AO5" s="56"/>
      <c r="AP5" s="56"/>
      <c r="AQ5" s="56"/>
      <c r="AR5" s="56"/>
      <c r="AS5" s="56" t="s">
        <v>2</v>
      </c>
      <c r="AT5" s="56"/>
      <c r="AU5" s="64" t="s">
        <v>53</v>
      </c>
      <c r="AV5" s="66"/>
      <c r="AW5" s="66"/>
      <c r="AX5" s="66"/>
      <c r="AY5" s="65"/>
      <c r="AZ5" s="56" t="s">
        <v>53</v>
      </c>
      <c r="BA5" s="56"/>
      <c r="BB5" s="56"/>
      <c r="BC5" s="56"/>
      <c r="BD5" s="56"/>
      <c r="BE5" s="56"/>
      <c r="BF5" s="56" t="s">
        <v>3</v>
      </c>
      <c r="BG5" s="64" t="s">
        <v>147</v>
      </c>
      <c r="BH5" s="66"/>
      <c r="BI5" s="66"/>
      <c r="BJ5" s="66"/>
      <c r="BK5" s="66"/>
      <c r="BL5" s="66"/>
      <c r="BM5" s="65"/>
      <c r="BN5" s="64" t="s">
        <v>147</v>
      </c>
      <c r="BO5" s="66"/>
      <c r="BP5" s="66"/>
      <c r="BQ5" s="66"/>
      <c r="BR5" s="66"/>
      <c r="BS5" s="66"/>
      <c r="BT5" s="65"/>
      <c r="BU5" s="56" t="s">
        <v>147</v>
      </c>
      <c r="BV5" s="56"/>
      <c r="BW5" s="56"/>
      <c r="BX5" s="56"/>
      <c r="BY5" s="56"/>
      <c r="BZ5" s="56"/>
      <c r="CA5" s="56"/>
      <c r="CB5" s="56" t="s">
        <v>147</v>
      </c>
      <c r="CC5" s="56"/>
      <c r="CD5" s="56"/>
      <c r="CE5" s="56"/>
      <c r="CF5" s="56"/>
      <c r="CG5" s="56"/>
      <c r="CH5" s="56"/>
      <c r="CI5" s="56" t="s">
        <v>3</v>
      </c>
      <c r="CJ5" s="36"/>
    </row>
    <row r="6" spans="1:92" s="11" customFormat="1" ht="76.5" customHeight="1" x14ac:dyDescent="0.2">
      <c r="A6" s="56"/>
      <c r="B6" s="56"/>
      <c r="C6" s="56" t="s">
        <v>4</v>
      </c>
      <c r="D6" s="56"/>
      <c r="E6" s="56"/>
      <c r="F6" s="56"/>
      <c r="G6" s="56"/>
      <c r="H6" s="56" t="s">
        <v>4</v>
      </c>
      <c r="I6" s="56"/>
      <c r="J6" s="56"/>
      <c r="K6" s="56"/>
      <c r="L6" s="56"/>
      <c r="M6" s="64" t="s">
        <v>4</v>
      </c>
      <c r="N6" s="66"/>
      <c r="O6" s="66"/>
      <c r="P6" s="66"/>
      <c r="Q6" s="66"/>
      <c r="R6" s="66"/>
      <c r="S6" s="66"/>
      <c r="T6" s="65"/>
      <c r="U6" s="49"/>
      <c r="V6" s="64" t="s">
        <v>4</v>
      </c>
      <c r="W6" s="66"/>
      <c r="X6" s="66"/>
      <c r="Y6" s="66"/>
      <c r="Z6" s="66"/>
      <c r="AA6" s="66"/>
      <c r="AB6" s="65"/>
      <c r="AC6" s="56" t="s">
        <v>5</v>
      </c>
      <c r="AD6" s="56"/>
      <c r="AE6" s="64" t="s">
        <v>4</v>
      </c>
      <c r="AF6" s="66"/>
      <c r="AG6" s="66"/>
      <c r="AH6" s="65"/>
      <c r="AI6" s="64" t="s">
        <v>5</v>
      </c>
      <c r="AJ6" s="65"/>
      <c r="AK6" s="64" t="s">
        <v>4</v>
      </c>
      <c r="AL6" s="66"/>
      <c r="AM6" s="66"/>
      <c r="AN6" s="65"/>
      <c r="AO6" s="56" t="s">
        <v>5</v>
      </c>
      <c r="AP6" s="56"/>
      <c r="AQ6" s="56"/>
      <c r="AR6" s="56"/>
      <c r="AS6" s="56" t="s">
        <v>5</v>
      </c>
      <c r="AT6" s="56"/>
      <c r="AU6" s="64" t="s">
        <v>4</v>
      </c>
      <c r="AV6" s="66"/>
      <c r="AW6" s="66"/>
      <c r="AX6" s="66"/>
      <c r="AY6" s="65"/>
      <c r="AZ6" s="37" t="s">
        <v>4</v>
      </c>
      <c r="BA6" s="56" t="s">
        <v>5</v>
      </c>
      <c r="BB6" s="56"/>
      <c r="BC6" s="56"/>
      <c r="BD6" s="56"/>
      <c r="BE6" s="56"/>
      <c r="BF6" s="56"/>
      <c r="BG6" s="56" t="s">
        <v>4</v>
      </c>
      <c r="BH6" s="56"/>
      <c r="BI6" s="56"/>
      <c r="BJ6" s="56"/>
      <c r="BK6" s="37" t="s">
        <v>5</v>
      </c>
      <c r="BL6" s="64" t="s">
        <v>4</v>
      </c>
      <c r="BM6" s="65"/>
      <c r="BN6" s="64" t="s">
        <v>4</v>
      </c>
      <c r="BO6" s="66"/>
      <c r="BP6" s="66"/>
      <c r="BQ6" s="66"/>
      <c r="BR6" s="66"/>
      <c r="BS6" s="66"/>
      <c r="BT6" s="65"/>
      <c r="BU6" s="37" t="s">
        <v>4</v>
      </c>
      <c r="BV6" s="56" t="s">
        <v>5</v>
      </c>
      <c r="BW6" s="56"/>
      <c r="BX6" s="56"/>
      <c r="BY6" s="56"/>
      <c r="BZ6" s="56"/>
      <c r="CA6" s="56"/>
      <c r="CB6" s="64" t="s">
        <v>5</v>
      </c>
      <c r="CC6" s="66"/>
      <c r="CD6" s="66"/>
      <c r="CE6" s="66"/>
      <c r="CF6" s="66"/>
      <c r="CG6" s="66"/>
      <c r="CH6" s="65"/>
      <c r="CI6" s="56"/>
      <c r="CJ6" s="36"/>
    </row>
    <row r="7" spans="1:92" s="11" customFormat="1" ht="113.25" customHeight="1" x14ac:dyDescent="0.2">
      <c r="A7" s="56"/>
      <c r="B7" s="56"/>
      <c r="C7" s="29"/>
      <c r="D7" s="29"/>
      <c r="E7" s="68" t="s">
        <v>6</v>
      </c>
      <c r="F7" s="68"/>
      <c r="G7" s="68"/>
      <c r="H7" s="12" t="s">
        <v>6</v>
      </c>
      <c r="I7" s="68" t="s">
        <v>210</v>
      </c>
      <c r="J7" s="68"/>
      <c r="K7" s="68"/>
      <c r="L7" s="68"/>
      <c r="M7" s="76" t="s">
        <v>210</v>
      </c>
      <c r="N7" s="77"/>
      <c r="O7" s="77"/>
      <c r="P7" s="77"/>
      <c r="Q7" s="77"/>
      <c r="R7" s="77"/>
      <c r="S7" s="77"/>
      <c r="T7" s="78"/>
      <c r="U7" s="76" t="s">
        <v>210</v>
      </c>
      <c r="V7" s="77"/>
      <c r="W7" s="77"/>
      <c r="X7" s="77"/>
      <c r="Y7" s="77"/>
      <c r="Z7" s="77"/>
      <c r="AA7" s="77"/>
      <c r="AB7" s="77"/>
      <c r="AC7" s="77"/>
      <c r="AD7" s="78"/>
      <c r="AE7" s="68" t="s">
        <v>210</v>
      </c>
      <c r="AF7" s="68"/>
      <c r="AG7" s="68"/>
      <c r="AH7" s="68"/>
      <c r="AI7" s="68"/>
      <c r="AJ7" s="68"/>
      <c r="AK7" s="76" t="s">
        <v>7</v>
      </c>
      <c r="AL7" s="77"/>
      <c r="AM7" s="77"/>
      <c r="AN7" s="77"/>
      <c r="AO7" s="77"/>
      <c r="AP7" s="77"/>
      <c r="AQ7" s="77"/>
      <c r="AR7" s="78"/>
      <c r="AS7" s="68" t="s">
        <v>7</v>
      </c>
      <c r="AT7" s="68"/>
      <c r="AU7" s="38"/>
      <c r="AV7" s="76" t="s">
        <v>8</v>
      </c>
      <c r="AW7" s="77"/>
      <c r="AX7" s="77"/>
      <c r="AY7" s="78"/>
      <c r="AZ7" s="68" t="s">
        <v>8</v>
      </c>
      <c r="BA7" s="68"/>
      <c r="BB7" s="68"/>
      <c r="BC7" s="68"/>
      <c r="BD7" s="68"/>
      <c r="BE7" s="68"/>
      <c r="BF7" s="56"/>
      <c r="BG7" s="45"/>
      <c r="BH7" s="56"/>
      <c r="BI7" s="56"/>
      <c r="BJ7" s="56"/>
      <c r="BK7" s="37" t="s">
        <v>148</v>
      </c>
      <c r="BL7" s="73" t="s">
        <v>8</v>
      </c>
      <c r="BM7" s="75"/>
      <c r="BN7" s="73" t="s">
        <v>8</v>
      </c>
      <c r="BO7" s="74"/>
      <c r="BP7" s="74"/>
      <c r="BQ7" s="74"/>
      <c r="BR7" s="74"/>
      <c r="BS7" s="74"/>
      <c r="BT7" s="75"/>
      <c r="BU7" s="67" t="s">
        <v>8</v>
      </c>
      <c r="BV7" s="67"/>
      <c r="BW7" s="67"/>
      <c r="BX7" s="67"/>
      <c r="BY7" s="67"/>
      <c r="BZ7" s="67"/>
      <c r="CA7" s="67"/>
      <c r="CB7" s="64" t="s">
        <v>8</v>
      </c>
      <c r="CC7" s="66"/>
      <c r="CD7" s="66"/>
      <c r="CE7" s="66"/>
      <c r="CF7" s="66"/>
      <c r="CG7" s="66"/>
      <c r="CH7" s="65" t="s">
        <v>8</v>
      </c>
      <c r="CI7" s="56"/>
      <c r="CJ7" s="36"/>
    </row>
    <row r="8" spans="1:92" s="11" customFormat="1" ht="92.25" customHeight="1" x14ac:dyDescent="0.2">
      <c r="A8" s="56"/>
      <c r="B8" s="56"/>
      <c r="C8" s="12" t="s">
        <v>126</v>
      </c>
      <c r="D8" s="12" t="s">
        <v>243</v>
      </c>
      <c r="E8" s="12" t="s">
        <v>121</v>
      </c>
      <c r="F8" s="12" t="s">
        <v>122</v>
      </c>
      <c r="G8" s="12" t="s">
        <v>123</v>
      </c>
      <c r="H8" s="12" t="s">
        <v>120</v>
      </c>
      <c r="I8" s="12" t="s">
        <v>208</v>
      </c>
      <c r="J8" s="12" t="s">
        <v>214</v>
      </c>
      <c r="K8" s="12" t="s">
        <v>238</v>
      </c>
      <c r="L8" s="12" t="s">
        <v>212</v>
      </c>
      <c r="M8" s="76" t="s">
        <v>139</v>
      </c>
      <c r="N8" s="77"/>
      <c r="O8" s="77"/>
      <c r="P8" s="77"/>
      <c r="Q8" s="77"/>
      <c r="R8" s="77"/>
      <c r="S8" s="77"/>
      <c r="T8" s="78"/>
      <c r="U8" s="68" t="s">
        <v>172</v>
      </c>
      <c r="V8" s="68"/>
      <c r="W8" s="68"/>
      <c r="X8" s="68"/>
      <c r="Y8" s="68"/>
      <c r="Z8" s="68"/>
      <c r="AA8" s="68"/>
      <c r="AB8" s="68"/>
      <c r="AC8" s="68"/>
      <c r="AD8" s="68"/>
      <c r="AE8" s="12" t="s">
        <v>137</v>
      </c>
      <c r="AF8" s="12" t="s">
        <v>205</v>
      </c>
      <c r="AG8" s="12" t="s">
        <v>218</v>
      </c>
      <c r="AH8" s="12" t="s">
        <v>236</v>
      </c>
      <c r="AI8" s="12" t="s">
        <v>214</v>
      </c>
      <c r="AJ8" s="12" t="s">
        <v>212</v>
      </c>
      <c r="AK8" s="12" t="s">
        <v>239</v>
      </c>
      <c r="AL8" s="12" t="s">
        <v>162</v>
      </c>
      <c r="AM8" s="12" t="s">
        <v>170</v>
      </c>
      <c r="AN8" s="12" t="s">
        <v>163</v>
      </c>
      <c r="AO8" s="68" t="s">
        <v>124</v>
      </c>
      <c r="AP8" s="68"/>
      <c r="AQ8" s="12"/>
      <c r="AR8" s="12" t="s">
        <v>162</v>
      </c>
      <c r="AS8" s="12" t="s">
        <v>170</v>
      </c>
      <c r="AT8" s="12" t="s">
        <v>163</v>
      </c>
      <c r="AU8" s="12" t="s">
        <v>129</v>
      </c>
      <c r="AV8" s="12" t="s">
        <v>219</v>
      </c>
      <c r="AW8" s="12" t="s">
        <v>219</v>
      </c>
      <c r="AX8" s="12" t="s">
        <v>219</v>
      </c>
      <c r="AY8" s="12" t="s">
        <v>231</v>
      </c>
      <c r="AZ8" s="12" t="s">
        <v>220</v>
      </c>
      <c r="BA8" s="12" t="s">
        <v>219</v>
      </c>
      <c r="BB8" s="12" t="s">
        <v>219</v>
      </c>
      <c r="BC8" s="12" t="s">
        <v>220</v>
      </c>
      <c r="BD8" s="12" t="s">
        <v>233</v>
      </c>
      <c r="BE8" s="12" t="s">
        <v>221</v>
      </c>
      <c r="BF8" s="56"/>
      <c r="BG8" s="12" t="s">
        <v>149</v>
      </c>
      <c r="BH8" s="12" t="s">
        <v>150</v>
      </c>
      <c r="BI8" s="12" t="s">
        <v>227</v>
      </c>
      <c r="BJ8" s="12" t="s">
        <v>151</v>
      </c>
      <c r="BK8" s="12" t="s">
        <v>152</v>
      </c>
      <c r="BL8" s="80" t="s">
        <v>153</v>
      </c>
      <c r="BM8" s="82"/>
      <c r="BN8" s="80" t="s">
        <v>153</v>
      </c>
      <c r="BO8" s="81"/>
      <c r="BP8" s="81"/>
      <c r="BQ8" s="81"/>
      <c r="BR8" s="81"/>
      <c r="BS8" s="81"/>
      <c r="BT8" s="82"/>
      <c r="BU8" s="67" t="s">
        <v>153</v>
      </c>
      <c r="BV8" s="67"/>
      <c r="BW8" s="67"/>
      <c r="BX8" s="67"/>
      <c r="BY8" s="67"/>
      <c r="BZ8" s="67"/>
      <c r="CA8" s="67"/>
      <c r="CB8" s="64" t="s">
        <v>153</v>
      </c>
      <c r="CC8" s="66"/>
      <c r="CD8" s="66"/>
      <c r="CE8" s="66"/>
      <c r="CF8" s="66"/>
      <c r="CG8" s="66"/>
      <c r="CH8" s="65" t="s">
        <v>153</v>
      </c>
      <c r="CI8" s="56"/>
      <c r="CJ8" s="36"/>
    </row>
    <row r="9" spans="1:92" s="11" customFormat="1" ht="81.75" customHeight="1" x14ac:dyDescent="0.2">
      <c r="A9" s="56"/>
      <c r="B9" s="56"/>
      <c r="C9" s="56" t="s">
        <v>125</v>
      </c>
      <c r="D9" s="59" t="s">
        <v>242</v>
      </c>
      <c r="E9" s="56" t="s">
        <v>249</v>
      </c>
      <c r="F9" s="56" t="s">
        <v>14</v>
      </c>
      <c r="G9" s="56" t="s">
        <v>119</v>
      </c>
      <c r="H9" s="56" t="s">
        <v>250</v>
      </c>
      <c r="I9" s="56" t="s">
        <v>209</v>
      </c>
      <c r="J9" s="56" t="s">
        <v>215</v>
      </c>
      <c r="K9" s="56" t="s">
        <v>215</v>
      </c>
      <c r="L9" s="56" t="s">
        <v>213</v>
      </c>
      <c r="M9" s="56" t="s">
        <v>140</v>
      </c>
      <c r="N9" s="73" t="s">
        <v>141</v>
      </c>
      <c r="O9" s="74"/>
      <c r="P9" s="74"/>
      <c r="Q9" s="74"/>
      <c r="R9" s="74"/>
      <c r="S9" s="74"/>
      <c r="T9" s="75"/>
      <c r="U9" s="56" t="s">
        <v>173</v>
      </c>
      <c r="V9" s="67" t="s">
        <v>141</v>
      </c>
      <c r="W9" s="67"/>
      <c r="X9" s="67"/>
      <c r="Y9" s="67"/>
      <c r="Z9" s="67"/>
      <c r="AA9" s="67"/>
      <c r="AB9" s="67"/>
      <c r="AC9" s="67"/>
      <c r="AD9" s="67"/>
      <c r="AE9" s="56" t="s">
        <v>138</v>
      </c>
      <c r="AF9" s="56" t="s">
        <v>234</v>
      </c>
      <c r="AG9" s="56" t="s">
        <v>257</v>
      </c>
      <c r="AH9" s="59" t="s">
        <v>237</v>
      </c>
      <c r="AI9" s="56" t="s">
        <v>215</v>
      </c>
      <c r="AJ9" s="56" t="s">
        <v>213</v>
      </c>
      <c r="AK9" s="59" t="s">
        <v>258</v>
      </c>
      <c r="AL9" s="56" t="s">
        <v>270</v>
      </c>
      <c r="AM9" s="56" t="s">
        <v>171</v>
      </c>
      <c r="AN9" s="56" t="s">
        <v>259</v>
      </c>
      <c r="AO9" s="56" t="s">
        <v>9</v>
      </c>
      <c r="AP9" s="56" t="s">
        <v>10</v>
      </c>
      <c r="AQ9" s="37" t="s">
        <v>223</v>
      </c>
      <c r="AR9" s="56" t="s">
        <v>161</v>
      </c>
      <c r="AS9" s="56" t="s">
        <v>171</v>
      </c>
      <c r="AT9" s="56" t="s">
        <v>259</v>
      </c>
      <c r="AU9" s="56" t="s">
        <v>128</v>
      </c>
      <c r="AV9" s="56" t="s">
        <v>269</v>
      </c>
      <c r="AW9" s="56" t="s">
        <v>225</v>
      </c>
      <c r="AX9" s="56" t="s">
        <v>226</v>
      </c>
      <c r="AY9" s="59" t="s">
        <v>260</v>
      </c>
      <c r="AZ9" s="56" t="s">
        <v>92</v>
      </c>
      <c r="BA9" s="56" t="s">
        <v>130</v>
      </c>
      <c r="BB9" s="56" t="s">
        <v>271</v>
      </c>
      <c r="BC9" s="56" t="s">
        <v>133</v>
      </c>
      <c r="BD9" s="56" t="s">
        <v>232</v>
      </c>
      <c r="BE9" s="56" t="s">
        <v>135</v>
      </c>
      <c r="BF9" s="56"/>
      <c r="BG9" s="56" t="s">
        <v>128</v>
      </c>
      <c r="BH9" s="56" t="s">
        <v>154</v>
      </c>
      <c r="BI9" s="56" t="s">
        <v>228</v>
      </c>
      <c r="BJ9" s="56" t="s">
        <v>155</v>
      </c>
      <c r="BK9" s="56" t="s">
        <v>156</v>
      </c>
      <c r="BL9" s="56" t="s">
        <v>157</v>
      </c>
      <c r="BM9" s="59" t="s">
        <v>240</v>
      </c>
      <c r="BN9" s="56" t="s">
        <v>261</v>
      </c>
      <c r="BO9" s="56" t="s">
        <v>262</v>
      </c>
      <c r="BP9" s="54" t="s">
        <v>272</v>
      </c>
      <c r="BQ9" s="83" t="s">
        <v>263</v>
      </c>
      <c r="BR9" s="56" t="s">
        <v>264</v>
      </c>
      <c r="BS9" s="56" t="s">
        <v>207</v>
      </c>
      <c r="BT9" s="69" t="s">
        <v>273</v>
      </c>
      <c r="BU9" s="59" t="s">
        <v>274</v>
      </c>
      <c r="BV9" s="56" t="s">
        <v>157</v>
      </c>
      <c r="BW9" s="56" t="s">
        <v>265</v>
      </c>
      <c r="BX9" s="56" t="s">
        <v>266</v>
      </c>
      <c r="BY9" s="54" t="s">
        <v>272</v>
      </c>
      <c r="BZ9" s="56" t="s">
        <v>267</v>
      </c>
      <c r="CA9" s="56" t="s">
        <v>222</v>
      </c>
      <c r="CB9" s="56" t="s">
        <v>230</v>
      </c>
      <c r="CC9" s="56" t="s">
        <v>224</v>
      </c>
      <c r="CD9" s="56" t="s">
        <v>268</v>
      </c>
      <c r="CE9" s="56" t="s">
        <v>275</v>
      </c>
      <c r="CF9" s="56" t="s">
        <v>244</v>
      </c>
      <c r="CG9" s="37" t="s">
        <v>223</v>
      </c>
      <c r="CH9" s="37"/>
      <c r="CI9" s="56"/>
      <c r="CJ9" s="36"/>
    </row>
    <row r="10" spans="1:92" s="11" customFormat="1" ht="283.5" customHeight="1" x14ac:dyDescent="0.2">
      <c r="A10" s="56"/>
      <c r="B10" s="56"/>
      <c r="C10" s="56"/>
      <c r="D10" s="62"/>
      <c r="E10" s="56"/>
      <c r="F10" s="56"/>
      <c r="G10" s="56"/>
      <c r="H10" s="56"/>
      <c r="I10" s="56"/>
      <c r="J10" s="56"/>
      <c r="K10" s="56"/>
      <c r="L10" s="56"/>
      <c r="M10" s="56"/>
      <c r="N10" s="68" t="s">
        <v>216</v>
      </c>
      <c r="O10" s="68" t="s">
        <v>217</v>
      </c>
      <c r="P10" s="68" t="s">
        <v>252</v>
      </c>
      <c r="Q10" s="68" t="s">
        <v>253</v>
      </c>
      <c r="R10" s="57" t="s">
        <v>254</v>
      </c>
      <c r="S10" s="57" t="s">
        <v>241</v>
      </c>
      <c r="T10" s="57" t="s">
        <v>255</v>
      </c>
      <c r="U10" s="56"/>
      <c r="V10" s="68" t="s">
        <v>174</v>
      </c>
      <c r="W10" s="68" t="s">
        <v>175</v>
      </c>
      <c r="X10" s="68" t="s">
        <v>176</v>
      </c>
      <c r="Y10" s="68" t="s">
        <v>177</v>
      </c>
      <c r="Z10" s="68" t="s">
        <v>178</v>
      </c>
      <c r="AA10" s="68" t="s">
        <v>256</v>
      </c>
      <c r="AB10" s="57" t="s">
        <v>229</v>
      </c>
      <c r="AC10" s="57" t="s">
        <v>229</v>
      </c>
      <c r="AD10" s="68" t="s">
        <v>256</v>
      </c>
      <c r="AE10" s="56"/>
      <c r="AF10" s="56"/>
      <c r="AG10" s="56"/>
      <c r="AH10" s="62"/>
      <c r="AI10" s="56"/>
      <c r="AJ10" s="56"/>
      <c r="AK10" s="62"/>
      <c r="AL10" s="56"/>
      <c r="AM10" s="56"/>
      <c r="AN10" s="56"/>
      <c r="AO10" s="56"/>
      <c r="AP10" s="56"/>
      <c r="AQ10" s="59" t="s">
        <v>235</v>
      </c>
      <c r="AR10" s="56"/>
      <c r="AS10" s="56"/>
      <c r="AT10" s="56"/>
      <c r="AU10" s="56"/>
      <c r="AV10" s="56"/>
      <c r="AW10" s="56"/>
      <c r="AX10" s="56"/>
      <c r="AY10" s="60"/>
      <c r="AZ10" s="56"/>
      <c r="BA10" s="56"/>
      <c r="BB10" s="56"/>
      <c r="BC10" s="56"/>
      <c r="BD10" s="56"/>
      <c r="BE10" s="56"/>
      <c r="BF10" s="56"/>
      <c r="BG10" s="56"/>
      <c r="BH10" s="56"/>
      <c r="BI10" s="56"/>
      <c r="BJ10" s="56"/>
      <c r="BK10" s="56"/>
      <c r="BL10" s="56"/>
      <c r="BM10" s="62"/>
      <c r="BN10" s="56"/>
      <c r="BO10" s="56"/>
      <c r="BP10" s="54"/>
      <c r="BQ10" s="84"/>
      <c r="BR10" s="56"/>
      <c r="BS10" s="56"/>
      <c r="BT10" s="70"/>
      <c r="BU10" s="62"/>
      <c r="BV10" s="56"/>
      <c r="BW10" s="56"/>
      <c r="BX10" s="56"/>
      <c r="BY10" s="54"/>
      <c r="BZ10" s="56"/>
      <c r="CA10" s="56"/>
      <c r="CB10" s="56"/>
      <c r="CC10" s="56"/>
      <c r="CD10" s="56"/>
      <c r="CE10" s="56"/>
      <c r="CF10" s="56"/>
      <c r="CG10" s="62" t="s">
        <v>245</v>
      </c>
      <c r="CH10" s="59" t="s">
        <v>276</v>
      </c>
      <c r="CI10" s="56"/>
      <c r="CJ10" s="36"/>
    </row>
    <row r="11" spans="1:92" s="13" customFormat="1" ht="357" customHeight="1" x14ac:dyDescent="0.2">
      <c r="A11" s="56"/>
      <c r="B11" s="56"/>
      <c r="C11" s="56"/>
      <c r="D11" s="63"/>
      <c r="E11" s="56"/>
      <c r="F11" s="56"/>
      <c r="G11" s="56"/>
      <c r="H11" s="56"/>
      <c r="I11" s="56"/>
      <c r="J11" s="56"/>
      <c r="K11" s="56"/>
      <c r="L11" s="56"/>
      <c r="M11" s="56"/>
      <c r="N11" s="68"/>
      <c r="O11" s="68"/>
      <c r="P11" s="68"/>
      <c r="Q11" s="68"/>
      <c r="R11" s="58"/>
      <c r="S11" s="79"/>
      <c r="T11" s="72"/>
      <c r="U11" s="56"/>
      <c r="V11" s="68"/>
      <c r="W11" s="68"/>
      <c r="X11" s="68"/>
      <c r="Y11" s="68"/>
      <c r="Z11" s="68"/>
      <c r="AA11" s="68"/>
      <c r="AB11" s="58"/>
      <c r="AC11" s="58"/>
      <c r="AD11" s="68"/>
      <c r="AE11" s="56"/>
      <c r="AF11" s="56"/>
      <c r="AG11" s="56"/>
      <c r="AH11" s="63"/>
      <c r="AI11" s="56"/>
      <c r="AJ11" s="56"/>
      <c r="AK11" s="63"/>
      <c r="AL11" s="56"/>
      <c r="AM11" s="56"/>
      <c r="AN11" s="56"/>
      <c r="AO11" s="56"/>
      <c r="AP11" s="56"/>
      <c r="AQ11" s="63"/>
      <c r="AR11" s="56"/>
      <c r="AS11" s="56"/>
      <c r="AT11" s="56"/>
      <c r="AU11" s="56"/>
      <c r="AV11" s="56"/>
      <c r="AW11" s="56"/>
      <c r="AX11" s="56"/>
      <c r="AY11" s="61"/>
      <c r="AZ11" s="56"/>
      <c r="BA11" s="56"/>
      <c r="BB11" s="56"/>
      <c r="BC11" s="56"/>
      <c r="BD11" s="56"/>
      <c r="BE11" s="56"/>
      <c r="BF11" s="56"/>
      <c r="BG11" s="56"/>
      <c r="BH11" s="56"/>
      <c r="BI11" s="56"/>
      <c r="BJ11" s="56"/>
      <c r="BK11" s="56"/>
      <c r="BL11" s="56"/>
      <c r="BM11" s="63"/>
      <c r="BN11" s="56"/>
      <c r="BO11" s="56"/>
      <c r="BP11" s="54"/>
      <c r="BQ11" s="85"/>
      <c r="BR11" s="56"/>
      <c r="BS11" s="56"/>
      <c r="BT11" s="71"/>
      <c r="BU11" s="63"/>
      <c r="BV11" s="56"/>
      <c r="BW11" s="56"/>
      <c r="BX11" s="56"/>
      <c r="BY11" s="54"/>
      <c r="BZ11" s="56"/>
      <c r="CA11" s="56"/>
      <c r="CB11" s="56"/>
      <c r="CC11" s="56"/>
      <c r="CD11" s="56"/>
      <c r="CE11" s="56"/>
      <c r="CF11" s="56"/>
      <c r="CG11" s="63"/>
      <c r="CH11" s="63"/>
      <c r="CI11" s="56"/>
    </row>
    <row r="12" spans="1:92" ht="74.25" customHeight="1" x14ac:dyDescent="0.8">
      <c r="A12" s="14" t="s">
        <v>17</v>
      </c>
      <c r="B12" s="15" t="s">
        <v>57</v>
      </c>
      <c r="C12" s="44"/>
      <c r="D12" s="44"/>
      <c r="E12" s="44">
        <f>25323400-1832000</f>
        <v>23491400</v>
      </c>
      <c r="F12" s="44">
        <f>15007100+190000-524900-470000-137136.88+9030900-307400+470300+226700+176100+159000+1522400+5046200+242500</f>
        <v>30631763.119999997</v>
      </c>
      <c r="G12" s="44">
        <f>3700-2110+3150-170</f>
        <v>4570</v>
      </c>
      <c r="H12" s="43">
        <f>64506-6000</f>
        <v>58506</v>
      </c>
      <c r="I12" s="43"/>
      <c r="J12" s="43"/>
      <c r="K12" s="43"/>
      <c r="L12" s="43">
        <f>110183.65-110183.65</f>
        <v>0</v>
      </c>
      <c r="M12" s="43">
        <f>N12+O12+P12+Q12+R12+T12+S12</f>
        <v>0</v>
      </c>
      <c r="N12" s="43"/>
      <c r="O12" s="43"/>
      <c r="P12" s="43"/>
      <c r="Q12" s="43"/>
      <c r="R12" s="43"/>
      <c r="S12" s="33"/>
      <c r="T12" s="38"/>
      <c r="U12" s="43">
        <f>V12+W12+X12+Y12+Z12+AD12+AA12+AC12+AB12</f>
        <v>0</v>
      </c>
      <c r="V12" s="43"/>
      <c r="W12" s="43"/>
      <c r="X12" s="43"/>
      <c r="Y12" s="43">
        <f>384614-384614</f>
        <v>0</v>
      </c>
      <c r="Z12" s="43"/>
      <c r="AA12" s="43"/>
      <c r="AB12" s="43"/>
      <c r="AC12" s="43"/>
      <c r="AD12" s="43"/>
      <c r="AE12" s="43">
        <f>23496+95479</f>
        <v>118975</v>
      </c>
      <c r="AF12" s="43">
        <f>246581+98641</f>
        <v>345222</v>
      </c>
      <c r="AG12" s="43"/>
      <c r="AH12" s="43">
        <f>128700</f>
        <v>128700</v>
      </c>
      <c r="AI12" s="43"/>
      <c r="AJ12" s="43">
        <v>110183.65</v>
      </c>
      <c r="AK12" s="43"/>
      <c r="AL12" s="43"/>
      <c r="AM12" s="43"/>
      <c r="AN12" s="43"/>
      <c r="AO12" s="43"/>
      <c r="AP12" s="43"/>
      <c r="AQ12" s="43"/>
      <c r="AR12" s="43"/>
      <c r="AS12" s="43"/>
      <c r="AT12" s="43"/>
      <c r="AU12" s="43"/>
      <c r="AV12" s="43">
        <v>520000</v>
      </c>
      <c r="AW12" s="43"/>
      <c r="AX12" s="43"/>
      <c r="AY12" s="43"/>
      <c r="AZ12" s="43"/>
      <c r="BA12" s="43"/>
      <c r="BB12" s="43">
        <v>400000</v>
      </c>
      <c r="BC12" s="43"/>
      <c r="BD12" s="43"/>
      <c r="BE12" s="43"/>
      <c r="BF12" s="43">
        <f t="shared" ref="BF12:BF43" si="0">SUM(C12:BE12)-P12-Q12-V12-W12-X12-Y12-Z12-AD12-O12-N12-AA12-R12-T12-AC12-AB12-AQ12-S12</f>
        <v>55809319.769999996</v>
      </c>
      <c r="BG12" s="43"/>
      <c r="BH12" s="43"/>
      <c r="BI12" s="43"/>
      <c r="BJ12" s="43"/>
      <c r="BK12" s="43"/>
      <c r="BL12" s="43">
        <v>23000</v>
      </c>
      <c r="BM12" s="43"/>
      <c r="BN12" s="43"/>
      <c r="BO12" s="43"/>
      <c r="BP12" s="43"/>
      <c r="BQ12" s="43"/>
      <c r="BR12" s="43"/>
      <c r="BS12" s="43"/>
      <c r="BT12" s="43"/>
      <c r="BU12" s="43"/>
      <c r="BV12" s="43"/>
      <c r="BW12" s="43"/>
      <c r="BX12" s="43"/>
      <c r="BY12" s="43"/>
      <c r="BZ12" s="43"/>
      <c r="CA12" s="43"/>
      <c r="CB12" s="43"/>
      <c r="CC12" s="43"/>
      <c r="CD12" s="43"/>
      <c r="CE12" s="43"/>
      <c r="CF12" s="43">
        <v>5000000</v>
      </c>
      <c r="CG12" s="43">
        <v>5000000</v>
      </c>
      <c r="CH12" s="43"/>
      <c r="CI12" s="43">
        <f>SUM(BG12:CH12)-CG12</f>
        <v>5023000</v>
      </c>
    </row>
    <row r="13" spans="1:92" ht="74.25" customHeight="1" x14ac:dyDescent="0.8">
      <c r="A13" s="14" t="s">
        <v>18</v>
      </c>
      <c r="B13" s="15" t="s">
        <v>134</v>
      </c>
      <c r="C13" s="34"/>
      <c r="D13" s="34"/>
      <c r="E13" s="34">
        <f>1016902400-66223000</f>
        <v>950679400</v>
      </c>
      <c r="F13" s="34">
        <f>521748200+61350000+13544000+7592600+1166200+42437400-5790000-5406566.02+317413700-6952500+10251500+128085100+8654900</f>
        <v>1094094533.98</v>
      </c>
      <c r="G13" s="34">
        <f>737000+60500+23500+88300</f>
        <v>909300</v>
      </c>
      <c r="H13" s="33">
        <f>10861151-120000-310000</f>
        <v>10431151</v>
      </c>
      <c r="I13" s="33"/>
      <c r="J13" s="33">
        <f>5000000</f>
        <v>5000000</v>
      </c>
      <c r="K13" s="33"/>
      <c r="L13" s="33">
        <f>2877779+13376100.1+1848637.9</f>
        <v>18102517</v>
      </c>
      <c r="M13" s="43">
        <f t="shared" ref="M13:M76" si="1">N13+O13+P13+Q13+R13+T13+S13</f>
        <v>0</v>
      </c>
      <c r="N13" s="33"/>
      <c r="O13" s="33"/>
      <c r="P13" s="33"/>
      <c r="Q13" s="33"/>
      <c r="R13" s="33"/>
      <c r="S13" s="33"/>
      <c r="T13" s="33"/>
      <c r="U13" s="43">
        <f>V13+W13+X13+Y13+Z13+AD13+AA13+AC13+AB13</f>
        <v>15200000</v>
      </c>
      <c r="V13" s="33">
        <f>150000+150000</f>
        <v>300000</v>
      </c>
      <c r="W13" s="33"/>
      <c r="X13" s="33"/>
      <c r="Y13" s="33">
        <f>7692352+2307648-625000</f>
        <v>9375000</v>
      </c>
      <c r="Z13" s="33"/>
      <c r="AA13" s="33"/>
      <c r="AB13" s="33">
        <v>1431325</v>
      </c>
      <c r="AC13" s="33">
        <f>3443675+650000</f>
        <v>4093675</v>
      </c>
      <c r="AD13" s="33"/>
      <c r="AE13" s="33">
        <f>1903179+8484379+53613</f>
        <v>10441171</v>
      </c>
      <c r="AF13" s="33">
        <f>14708567+5882431-215096</f>
        <v>20375902</v>
      </c>
      <c r="AG13" s="33">
        <f>6684916+2377853+5264064</f>
        <v>14326833</v>
      </c>
      <c r="AH13" s="33">
        <f>17032400</f>
        <v>17032400</v>
      </c>
      <c r="AI13" s="33"/>
      <c r="AJ13" s="33">
        <v>12664618.810000001</v>
      </c>
      <c r="AK13" s="33"/>
      <c r="AL13" s="33"/>
      <c r="AM13" s="33"/>
      <c r="AN13" s="33"/>
      <c r="AO13" s="33"/>
      <c r="AP13" s="33"/>
      <c r="AQ13" s="33"/>
      <c r="AR13" s="33"/>
      <c r="AS13" s="33"/>
      <c r="AT13" s="33"/>
      <c r="AU13" s="33"/>
      <c r="AV13" s="33">
        <f>13258000-95000+5000+15000</f>
        <v>13183000</v>
      </c>
      <c r="AW13" s="33">
        <v>553515.42000000004</v>
      </c>
      <c r="AX13" s="33">
        <v>693625.04</v>
      </c>
      <c r="AY13" s="33">
        <v>15600</v>
      </c>
      <c r="AZ13" s="33"/>
      <c r="BA13" s="33"/>
      <c r="BB13" s="33"/>
      <c r="BC13" s="33"/>
      <c r="BD13" s="43"/>
      <c r="BE13" s="33"/>
      <c r="BF13" s="43">
        <f t="shared" si="0"/>
        <v>2183703567.25</v>
      </c>
      <c r="BG13" s="33"/>
      <c r="BH13" s="33"/>
      <c r="BI13" s="33"/>
      <c r="BJ13" s="33"/>
      <c r="BK13" s="33">
        <f>5000000</f>
        <v>5000000</v>
      </c>
      <c r="BL13" s="33"/>
      <c r="BM13" s="33"/>
      <c r="BN13" s="33">
        <f>6250+49522+485052+19059-170163+7210+435070+75000</f>
        <v>907000</v>
      </c>
      <c r="BO13" s="33"/>
      <c r="BP13" s="33">
        <f>272300-52500</f>
        <v>219800</v>
      </c>
      <c r="BQ13" s="33">
        <f>52500</f>
        <v>52500</v>
      </c>
      <c r="BR13" s="33"/>
      <c r="BS13" s="33">
        <v>1350000</v>
      </c>
      <c r="BT13" s="33">
        <f>2150000</f>
        <v>2150000</v>
      </c>
      <c r="BU13" s="33"/>
      <c r="BV13" s="33">
        <f>1380400+587600</f>
        <v>1968000</v>
      </c>
      <c r="BW13" s="33">
        <f>120100+150000+185054+21488+94757+170163+125000+36000+42700</f>
        <v>945262</v>
      </c>
      <c r="BX13" s="33"/>
      <c r="BY13" s="33">
        <f>727700</f>
        <v>727700</v>
      </c>
      <c r="BZ13" s="33"/>
      <c r="CA13" s="33">
        <v>5000000</v>
      </c>
      <c r="CB13" s="33"/>
      <c r="CC13" s="33"/>
      <c r="CD13" s="33">
        <f>7500000</f>
        <v>7500000</v>
      </c>
      <c r="CE13" s="43"/>
      <c r="CF13" s="43">
        <v>127000</v>
      </c>
      <c r="CG13" s="43">
        <v>127000</v>
      </c>
      <c r="CH13" s="43"/>
      <c r="CI13" s="43">
        <f t="shared" ref="CI13:CI76" si="2">SUM(BG13:CH13)-CG13</f>
        <v>25947262</v>
      </c>
      <c r="CL13" s="33">
        <v>21488</v>
      </c>
      <c r="CM13" s="33" t="s">
        <v>211</v>
      </c>
      <c r="CN13" s="33"/>
    </row>
    <row r="14" spans="1:92" ht="74.25" customHeight="1" x14ac:dyDescent="0.8">
      <c r="A14" s="14" t="s">
        <v>19</v>
      </c>
      <c r="B14" s="15" t="s">
        <v>248</v>
      </c>
      <c r="C14" s="34"/>
      <c r="D14" s="34"/>
      <c r="E14" s="34">
        <f>276597900-17031600</f>
        <v>259566300</v>
      </c>
      <c r="F14" s="34">
        <f>264008600+8500000-3000000-4140700+750000-1187032.46+141761900-2621400+45256900+3585400</f>
        <v>452913667.53999996</v>
      </c>
      <c r="G14" s="34">
        <f>271100+10000+9300+17700</f>
        <v>308100</v>
      </c>
      <c r="H14" s="33">
        <f>7929056-420000-370000</f>
        <v>7139056</v>
      </c>
      <c r="I14" s="33"/>
      <c r="J14" s="33">
        <v>1900000</v>
      </c>
      <c r="K14" s="33">
        <v>500000</v>
      </c>
      <c r="L14" s="33">
        <f>16900000-16900000</f>
        <v>0</v>
      </c>
      <c r="M14" s="43">
        <f t="shared" si="1"/>
        <v>0</v>
      </c>
      <c r="N14" s="33"/>
      <c r="O14" s="33"/>
      <c r="P14" s="33"/>
      <c r="Q14" s="33"/>
      <c r="R14" s="33"/>
      <c r="S14" s="33"/>
      <c r="T14" s="33"/>
      <c r="U14" s="43">
        <f t="shared" ref="U14:U76" si="3">V14+W14+X14+Y14+Z14+AD14+AA14+AC14+AB14</f>
        <v>1975000</v>
      </c>
      <c r="V14" s="33"/>
      <c r="W14" s="33"/>
      <c r="X14" s="33"/>
      <c r="Y14" s="33">
        <f>769228+430772-75000</f>
        <v>1125000</v>
      </c>
      <c r="Z14" s="33"/>
      <c r="AA14" s="33"/>
      <c r="AB14" s="33">
        <v>220205</v>
      </c>
      <c r="AC14" s="33">
        <f>529795+100000</f>
        <v>629795</v>
      </c>
      <c r="AD14" s="33"/>
      <c r="AE14" s="33">
        <f>1057321+1152368</f>
        <v>2209689</v>
      </c>
      <c r="AF14" s="33">
        <f>3494008+1397729+56549</f>
        <v>4948286</v>
      </c>
      <c r="AG14" s="33">
        <f>1142336+614663</f>
        <v>1756999</v>
      </c>
      <c r="AH14" s="33">
        <f>3013000+2525500</f>
        <v>5538500</v>
      </c>
      <c r="AI14" s="33">
        <v>580000</v>
      </c>
      <c r="AJ14" s="33">
        <v>28990920</v>
      </c>
      <c r="AK14" s="33"/>
      <c r="AL14" s="33"/>
      <c r="AM14" s="33"/>
      <c r="AN14" s="33"/>
      <c r="AO14" s="33"/>
      <c r="AP14" s="33"/>
      <c r="AQ14" s="33"/>
      <c r="AR14" s="33"/>
      <c r="AS14" s="33"/>
      <c r="AT14" s="33"/>
      <c r="AU14" s="33">
        <v>6841400</v>
      </c>
      <c r="AV14" s="33">
        <f>955000+25000</f>
        <v>980000</v>
      </c>
      <c r="AW14" s="33"/>
      <c r="AX14" s="33"/>
      <c r="AY14" s="33"/>
      <c r="AZ14" s="33"/>
      <c r="BA14" s="33"/>
      <c r="BB14" s="33"/>
      <c r="BC14" s="33"/>
      <c r="BD14" s="43"/>
      <c r="BE14" s="33"/>
      <c r="BF14" s="43">
        <f t="shared" si="0"/>
        <v>776147917.53999996</v>
      </c>
      <c r="BG14" s="33"/>
      <c r="BH14" s="33"/>
      <c r="BI14" s="33"/>
      <c r="BJ14" s="33"/>
      <c r="BK14" s="33"/>
      <c r="BL14" s="33"/>
      <c r="BM14" s="33">
        <v>58500</v>
      </c>
      <c r="BN14" s="33"/>
      <c r="BO14" s="33"/>
      <c r="BP14" s="33"/>
      <c r="BQ14" s="33"/>
      <c r="BR14" s="33"/>
      <c r="BS14" s="33"/>
      <c r="BT14" s="33"/>
      <c r="BU14" s="33"/>
      <c r="BV14" s="33"/>
      <c r="BW14" s="33"/>
      <c r="BX14" s="33"/>
      <c r="BY14" s="33"/>
      <c r="BZ14" s="33">
        <f>60000000-20000000</f>
        <v>40000000</v>
      </c>
      <c r="CA14" s="33"/>
      <c r="CB14" s="33"/>
      <c r="CC14" s="33">
        <f>2000000-1500000</f>
        <v>500000</v>
      </c>
      <c r="CD14" s="33"/>
      <c r="CE14" s="43"/>
      <c r="CF14" s="43"/>
      <c r="CG14" s="43"/>
      <c r="CH14" s="43"/>
      <c r="CI14" s="43">
        <f t="shared" si="2"/>
        <v>40558500</v>
      </c>
    </row>
    <row r="15" spans="1:92" ht="74.25" customHeight="1" x14ac:dyDescent="0.8">
      <c r="A15" s="14" t="s">
        <v>20</v>
      </c>
      <c r="B15" s="15" t="s">
        <v>58</v>
      </c>
      <c r="C15" s="34"/>
      <c r="D15" s="34"/>
      <c r="E15" s="34">
        <f>65050900-1313900</f>
        <v>63737000</v>
      </c>
      <c r="F15" s="34">
        <f>72798000-3900000+457800+2913400+300000+330000+3874300+1650000+643811.83+33214700-690100+3924000+501000+450000+4233300+3190300+988600</f>
        <v>124879111.83</v>
      </c>
      <c r="G15" s="34">
        <f>1219500-55000-54900+16900</f>
        <v>1126500</v>
      </c>
      <c r="H15" s="33">
        <f>1671192+250000-20000-331400</f>
        <v>1569792</v>
      </c>
      <c r="I15" s="33"/>
      <c r="J15" s="33"/>
      <c r="K15" s="33"/>
      <c r="L15" s="33">
        <v>457775.03</v>
      </c>
      <c r="M15" s="43">
        <f t="shared" si="1"/>
        <v>0</v>
      </c>
      <c r="N15" s="33"/>
      <c r="O15" s="33"/>
      <c r="P15" s="33"/>
      <c r="Q15" s="33"/>
      <c r="R15" s="33"/>
      <c r="S15" s="33"/>
      <c r="T15" s="33"/>
      <c r="U15" s="43">
        <f t="shared" si="3"/>
        <v>0</v>
      </c>
      <c r="V15" s="33"/>
      <c r="W15" s="33"/>
      <c r="X15" s="33"/>
      <c r="Y15" s="33">
        <f>192307-192307</f>
        <v>0</v>
      </c>
      <c r="Z15" s="33"/>
      <c r="AA15" s="33"/>
      <c r="AB15" s="33"/>
      <c r="AC15" s="33"/>
      <c r="AD15" s="33"/>
      <c r="AE15" s="33">
        <f>107227</f>
        <v>107227</v>
      </c>
      <c r="AF15" s="33">
        <f>681453+272606-100000</f>
        <v>854059</v>
      </c>
      <c r="AG15" s="33">
        <v>422091</v>
      </c>
      <c r="AH15" s="33">
        <f>2000000+1447500</f>
        <v>3447500</v>
      </c>
      <c r="AI15" s="33"/>
      <c r="AJ15" s="33"/>
      <c r="AK15" s="33"/>
      <c r="AL15" s="33"/>
      <c r="AM15" s="33"/>
      <c r="AN15" s="33"/>
      <c r="AO15" s="33"/>
      <c r="AP15" s="33"/>
      <c r="AQ15" s="33"/>
      <c r="AR15" s="33"/>
      <c r="AS15" s="33"/>
      <c r="AT15" s="33"/>
      <c r="AU15" s="33">
        <v>1662100</v>
      </c>
      <c r="AV15" s="33">
        <f>560000</f>
        <v>560000</v>
      </c>
      <c r="AW15" s="33"/>
      <c r="AX15" s="33">
        <v>88624</v>
      </c>
      <c r="AY15" s="33"/>
      <c r="AZ15" s="33"/>
      <c r="BA15" s="33"/>
      <c r="BB15" s="33"/>
      <c r="BC15" s="33"/>
      <c r="BD15" s="43"/>
      <c r="BE15" s="33"/>
      <c r="BF15" s="43">
        <f t="shared" si="0"/>
        <v>198911779.85999998</v>
      </c>
      <c r="BG15" s="33"/>
      <c r="BH15" s="33"/>
      <c r="BI15" s="33"/>
      <c r="BJ15" s="33"/>
      <c r="BK15" s="33"/>
      <c r="BL15" s="33">
        <v>47000</v>
      </c>
      <c r="BM15" s="33"/>
      <c r="BN15" s="33"/>
      <c r="BO15" s="33"/>
      <c r="BP15" s="33"/>
      <c r="BQ15" s="33"/>
      <c r="BR15" s="33"/>
      <c r="BS15" s="33"/>
      <c r="BT15" s="33"/>
      <c r="BU15" s="33"/>
      <c r="BV15" s="33"/>
      <c r="BW15" s="33"/>
      <c r="BX15" s="33"/>
      <c r="BY15" s="33"/>
      <c r="BZ15" s="33"/>
      <c r="CA15" s="33"/>
      <c r="CB15" s="33"/>
      <c r="CC15" s="33"/>
      <c r="CD15" s="33"/>
      <c r="CE15" s="43"/>
      <c r="CF15" s="43"/>
      <c r="CG15" s="43"/>
      <c r="CH15" s="43"/>
      <c r="CI15" s="43">
        <f t="shared" si="2"/>
        <v>47000</v>
      </c>
    </row>
    <row r="16" spans="1:92" ht="74.25" customHeight="1" x14ac:dyDescent="0.8">
      <c r="A16" s="14" t="s">
        <v>21</v>
      </c>
      <c r="B16" s="15" t="s">
        <v>59</v>
      </c>
      <c r="C16" s="34"/>
      <c r="D16" s="34"/>
      <c r="E16" s="34">
        <f>743272600-40452500</f>
        <v>702820100</v>
      </c>
      <c r="F16" s="34">
        <f>602468700+83950000-4708200+21024100+5723900+44650500-2250000+10971721.95+255417500-6293200-410000-594400-9072100-440000-1250700-16813000+587700+92900+136381300+8932600</f>
        <v>1128369321.95</v>
      </c>
      <c r="G16" s="33">
        <f>2089000-191000-19600+176900</f>
        <v>2055300</v>
      </c>
      <c r="H16" s="33">
        <f>10848487-500000-640000-390000-465000</f>
        <v>8853487</v>
      </c>
      <c r="I16" s="33"/>
      <c r="J16" s="33"/>
      <c r="K16" s="33"/>
      <c r="L16" s="33">
        <f>404528.64-404528.64+7761000</f>
        <v>7761000</v>
      </c>
      <c r="M16" s="43">
        <f t="shared" si="1"/>
        <v>0</v>
      </c>
      <c r="N16" s="33"/>
      <c r="O16" s="33"/>
      <c r="P16" s="33"/>
      <c r="Q16" s="33"/>
      <c r="R16" s="33"/>
      <c r="S16" s="33"/>
      <c r="T16" s="33"/>
      <c r="U16" s="43">
        <f t="shared" si="3"/>
        <v>1125000</v>
      </c>
      <c r="V16" s="33"/>
      <c r="W16" s="33"/>
      <c r="X16" s="33"/>
      <c r="Y16" s="33">
        <f>1730763-530763-75000</f>
        <v>1125000</v>
      </c>
      <c r="Z16" s="33"/>
      <c r="AA16" s="33"/>
      <c r="AB16" s="33"/>
      <c r="AC16" s="33"/>
      <c r="AD16" s="33"/>
      <c r="AE16" s="33">
        <f>8200117+1943327</f>
        <v>10143444</v>
      </c>
      <c r="AF16" s="33">
        <f>7229944+2892238</f>
        <v>10122182</v>
      </c>
      <c r="AG16" s="33">
        <f>825652-825652</f>
        <v>0</v>
      </c>
      <c r="AH16" s="33">
        <f>3032300+5116900</f>
        <v>8149200</v>
      </c>
      <c r="AI16" s="33"/>
      <c r="AJ16" s="33">
        <f>17405386.63</f>
        <v>17405386.629999999</v>
      </c>
      <c r="AK16" s="33"/>
      <c r="AL16" s="33"/>
      <c r="AM16" s="33"/>
      <c r="AN16" s="33"/>
      <c r="AO16" s="33"/>
      <c r="AP16" s="33"/>
      <c r="AQ16" s="33"/>
      <c r="AR16" s="33"/>
      <c r="AS16" s="33"/>
      <c r="AT16" s="33"/>
      <c r="AU16" s="33"/>
      <c r="AV16" s="33">
        <f>14960000+30000</f>
        <v>14990000</v>
      </c>
      <c r="AW16" s="33">
        <v>50000</v>
      </c>
      <c r="AX16" s="33"/>
      <c r="AY16" s="33">
        <v>20800</v>
      </c>
      <c r="AZ16" s="33"/>
      <c r="BA16" s="33"/>
      <c r="BB16" s="33"/>
      <c r="BC16" s="33"/>
      <c r="BD16" s="43"/>
      <c r="BE16" s="33">
        <f>11000000-10500000-400000+6800000</f>
        <v>6900000</v>
      </c>
      <c r="BF16" s="43">
        <f t="shared" si="0"/>
        <v>1918765221.5800002</v>
      </c>
      <c r="BG16" s="33"/>
      <c r="BH16" s="33"/>
      <c r="BI16" s="33"/>
      <c r="BJ16" s="33"/>
      <c r="BK16" s="33"/>
      <c r="BL16" s="33"/>
      <c r="BM16" s="33"/>
      <c r="BN16" s="33"/>
      <c r="BO16" s="33">
        <v>2504261</v>
      </c>
      <c r="BP16" s="33"/>
      <c r="BQ16" s="33"/>
      <c r="BR16" s="33"/>
      <c r="BS16" s="33"/>
      <c r="BT16" s="33"/>
      <c r="BU16" s="33">
        <v>900000</v>
      </c>
      <c r="BV16" s="33">
        <f>800000</f>
        <v>800000</v>
      </c>
      <c r="BW16" s="33"/>
      <c r="BX16" s="33">
        <f>40000</f>
        <v>40000</v>
      </c>
      <c r="BY16" s="33"/>
      <c r="BZ16" s="33"/>
      <c r="CA16" s="33"/>
      <c r="CB16" s="33"/>
      <c r="CC16" s="33">
        <f>766851+763417+825279</f>
        <v>2355547</v>
      </c>
      <c r="CD16" s="33"/>
      <c r="CE16" s="43"/>
      <c r="CF16" s="43"/>
      <c r="CG16" s="43"/>
      <c r="CH16" s="43"/>
      <c r="CI16" s="43">
        <f t="shared" si="2"/>
        <v>6599808</v>
      </c>
    </row>
    <row r="17" spans="1:87" ht="74.25" customHeight="1" x14ac:dyDescent="0.8">
      <c r="A17" s="14" t="s">
        <v>22</v>
      </c>
      <c r="B17" s="15" t="s">
        <v>60</v>
      </c>
      <c r="C17" s="34"/>
      <c r="D17" s="34"/>
      <c r="E17" s="34">
        <f>66746200-5792600</f>
        <v>60953600</v>
      </c>
      <c r="F17" s="34">
        <f>61362500-9000000+1218900+530400+811500+2472600+450000+691010.81+32481200-631900-5000000+17996800+825000</f>
        <v>104208010.81</v>
      </c>
      <c r="G17" s="34">
        <f>171500-66500+30000+14500</f>
        <v>149500</v>
      </c>
      <c r="H17" s="33">
        <f>4432232-120000-8000</f>
        <v>4304232</v>
      </c>
      <c r="I17" s="33">
        <f>952030</f>
        <v>952030</v>
      </c>
      <c r="J17" s="33">
        <v>1694363</v>
      </c>
      <c r="K17" s="33"/>
      <c r="L17" s="33">
        <v>2033400</v>
      </c>
      <c r="M17" s="43">
        <f t="shared" si="1"/>
        <v>0</v>
      </c>
      <c r="N17" s="33"/>
      <c r="O17" s="33"/>
      <c r="P17" s="33"/>
      <c r="Q17" s="33"/>
      <c r="R17" s="33"/>
      <c r="S17" s="33"/>
      <c r="T17" s="33"/>
      <c r="U17" s="43">
        <f t="shared" si="3"/>
        <v>375000</v>
      </c>
      <c r="V17" s="33"/>
      <c r="W17" s="33"/>
      <c r="X17" s="33"/>
      <c r="Y17" s="33">
        <f>769228-369228-25000</f>
        <v>375000</v>
      </c>
      <c r="Z17" s="33"/>
      <c r="AA17" s="33"/>
      <c r="AB17" s="33"/>
      <c r="AC17" s="33"/>
      <c r="AD17" s="33"/>
      <c r="AE17" s="33">
        <f>93984+435529</f>
        <v>529513</v>
      </c>
      <c r="AF17" s="33">
        <f>679253+271726+205100</f>
        <v>1156079</v>
      </c>
      <c r="AG17" s="33"/>
      <c r="AH17" s="33">
        <f>1500000+5822500</f>
        <v>7322500</v>
      </c>
      <c r="AI17" s="33">
        <v>1445000</v>
      </c>
      <c r="AJ17" s="33"/>
      <c r="AK17" s="33"/>
      <c r="AL17" s="33"/>
      <c r="AM17" s="33"/>
      <c r="AN17" s="33"/>
      <c r="AO17" s="33"/>
      <c r="AP17" s="33"/>
      <c r="AQ17" s="33"/>
      <c r="AR17" s="33"/>
      <c r="AS17" s="33"/>
      <c r="AT17" s="33"/>
      <c r="AU17" s="33">
        <v>2142300</v>
      </c>
      <c r="AV17" s="33">
        <v>1030000</v>
      </c>
      <c r="AW17" s="33">
        <v>24000</v>
      </c>
      <c r="AX17" s="33"/>
      <c r="AY17" s="33"/>
      <c r="AZ17" s="33"/>
      <c r="BA17" s="33"/>
      <c r="BB17" s="33"/>
      <c r="BC17" s="33"/>
      <c r="BD17" s="43"/>
      <c r="BE17" s="33"/>
      <c r="BF17" s="43">
        <f t="shared" si="0"/>
        <v>188319527.81</v>
      </c>
      <c r="BG17" s="33"/>
      <c r="BH17" s="33"/>
      <c r="BI17" s="33"/>
      <c r="BJ17" s="33"/>
      <c r="BK17" s="33">
        <f>20000-20000</f>
        <v>0</v>
      </c>
      <c r="BL17" s="33"/>
      <c r="BM17" s="33"/>
      <c r="BN17" s="33"/>
      <c r="BO17" s="33"/>
      <c r="BP17" s="33"/>
      <c r="BQ17" s="33"/>
      <c r="BR17" s="33"/>
      <c r="BS17" s="33"/>
      <c r="BT17" s="33"/>
      <c r="BU17" s="33"/>
      <c r="BV17" s="33">
        <v>20000</v>
      </c>
      <c r="BW17" s="33"/>
      <c r="BX17" s="33"/>
      <c r="BY17" s="33"/>
      <c r="BZ17" s="33"/>
      <c r="CA17" s="33"/>
      <c r="CB17" s="33">
        <f>30000-30000</f>
        <v>0</v>
      </c>
      <c r="CC17" s="33">
        <f>100000</f>
        <v>100000</v>
      </c>
      <c r="CD17" s="33"/>
      <c r="CE17" s="43"/>
      <c r="CF17" s="43"/>
      <c r="CG17" s="43"/>
      <c r="CH17" s="43"/>
      <c r="CI17" s="43">
        <f t="shared" si="2"/>
        <v>120000</v>
      </c>
    </row>
    <row r="18" spans="1:87" ht="74.25" customHeight="1" x14ac:dyDescent="0.8">
      <c r="A18" s="14" t="s">
        <v>23</v>
      </c>
      <c r="B18" s="15" t="s">
        <v>61</v>
      </c>
      <c r="C18" s="34"/>
      <c r="D18" s="34"/>
      <c r="E18" s="34">
        <f>157636500-9638500</f>
        <v>147998000</v>
      </c>
      <c r="F18" s="34">
        <f>113172900+10400000+1713700+2133800+2149900+7365500-215000-1043693+73701400-1495100-10000000+43278500+1924300</f>
        <v>243086207</v>
      </c>
      <c r="G18" s="34">
        <f>145400+12700-5900+15470</f>
        <v>167670</v>
      </c>
      <c r="H18" s="33">
        <f>3115550-200000+8600</f>
        <v>2924150</v>
      </c>
      <c r="I18" s="33"/>
      <c r="J18" s="33"/>
      <c r="K18" s="33">
        <v>500000</v>
      </c>
      <c r="L18" s="33">
        <v>3498175</v>
      </c>
      <c r="M18" s="43">
        <f t="shared" si="1"/>
        <v>0</v>
      </c>
      <c r="N18" s="33"/>
      <c r="O18" s="33"/>
      <c r="P18" s="33"/>
      <c r="Q18" s="33"/>
      <c r="R18" s="33"/>
      <c r="S18" s="33"/>
      <c r="T18" s="33"/>
      <c r="U18" s="43">
        <f t="shared" si="3"/>
        <v>4818800</v>
      </c>
      <c r="V18" s="33"/>
      <c r="W18" s="33">
        <v>4443800</v>
      </c>
      <c r="X18" s="33"/>
      <c r="Y18" s="33">
        <f>192307+207693-25000</f>
        <v>375000</v>
      </c>
      <c r="Z18" s="33"/>
      <c r="AA18" s="33"/>
      <c r="AB18" s="33"/>
      <c r="AC18" s="33"/>
      <c r="AD18" s="33"/>
      <c r="AE18" s="33">
        <f>2232123+227700</f>
        <v>2459823</v>
      </c>
      <c r="AF18" s="33">
        <f>1368884+547603+300000</f>
        <v>2216487</v>
      </c>
      <c r="AG18" s="33">
        <v>1854691</v>
      </c>
      <c r="AH18" s="33">
        <f>108800</f>
        <v>108800</v>
      </c>
      <c r="AI18" s="33"/>
      <c r="AJ18" s="33"/>
      <c r="AK18" s="33"/>
      <c r="AL18" s="33"/>
      <c r="AM18" s="33"/>
      <c r="AN18" s="33"/>
      <c r="AO18" s="33"/>
      <c r="AP18" s="33"/>
      <c r="AQ18" s="33"/>
      <c r="AR18" s="33"/>
      <c r="AS18" s="33"/>
      <c r="AT18" s="33"/>
      <c r="AU18" s="33">
        <v>1046900</v>
      </c>
      <c r="AV18" s="33">
        <f>1760000-45000</f>
        <v>1715000</v>
      </c>
      <c r="AW18" s="33">
        <v>182450</v>
      </c>
      <c r="AX18" s="33">
        <v>71950</v>
      </c>
      <c r="AY18" s="33">
        <v>5200</v>
      </c>
      <c r="AZ18" s="33"/>
      <c r="BA18" s="33"/>
      <c r="BB18" s="33"/>
      <c r="BC18" s="33"/>
      <c r="BD18" s="43"/>
      <c r="BE18" s="33"/>
      <c r="BF18" s="43">
        <f t="shared" si="0"/>
        <v>412654303</v>
      </c>
      <c r="BG18" s="33"/>
      <c r="BH18" s="33"/>
      <c r="BI18" s="33">
        <v>11660100</v>
      </c>
      <c r="BJ18" s="33"/>
      <c r="BK18" s="33"/>
      <c r="BL18" s="33">
        <f>115000</f>
        <v>115000</v>
      </c>
      <c r="BM18" s="33"/>
      <c r="BN18" s="33"/>
      <c r="BO18" s="33"/>
      <c r="BP18" s="33"/>
      <c r="BQ18" s="33"/>
      <c r="BR18" s="33"/>
      <c r="BS18" s="33"/>
      <c r="BT18" s="33"/>
      <c r="BU18" s="33"/>
      <c r="BV18" s="33"/>
      <c r="BW18" s="33"/>
      <c r="BX18" s="33"/>
      <c r="BY18" s="33"/>
      <c r="BZ18" s="33"/>
      <c r="CA18" s="33"/>
      <c r="CB18" s="33"/>
      <c r="CC18" s="33"/>
      <c r="CD18" s="33"/>
      <c r="CE18" s="43"/>
      <c r="CF18" s="43"/>
      <c r="CG18" s="43"/>
      <c r="CH18" s="43"/>
      <c r="CI18" s="43">
        <f t="shared" si="2"/>
        <v>11775100</v>
      </c>
    </row>
    <row r="19" spans="1:87" ht="74.25" customHeight="1" x14ac:dyDescent="0.8">
      <c r="A19" s="14" t="s">
        <v>24</v>
      </c>
      <c r="B19" s="15" t="s">
        <v>62</v>
      </c>
      <c r="C19" s="34"/>
      <c r="D19" s="34"/>
      <c r="E19" s="34">
        <f>93730900-6286300</f>
        <v>87444600</v>
      </c>
      <c r="F19" s="34">
        <f>84890400-1800000-4944900+70000+380572.8+50641700-1155900+18899900+1172800</f>
        <v>148154572.80000001</v>
      </c>
      <c r="G19" s="34">
        <f>132400-34500+17000+21600</f>
        <v>136500</v>
      </c>
      <c r="H19" s="33">
        <f>1658608-100000-269000</f>
        <v>1289608</v>
      </c>
      <c r="I19" s="33"/>
      <c r="J19" s="33"/>
      <c r="K19" s="33"/>
      <c r="L19" s="33">
        <f>938554-938554+2038479</f>
        <v>2038479</v>
      </c>
      <c r="M19" s="43">
        <f t="shared" si="1"/>
        <v>0</v>
      </c>
      <c r="N19" s="33"/>
      <c r="O19" s="33"/>
      <c r="P19" s="33"/>
      <c r="Q19" s="33"/>
      <c r="R19" s="33"/>
      <c r="S19" s="33"/>
      <c r="T19" s="33"/>
      <c r="U19" s="43">
        <f t="shared" si="3"/>
        <v>7794542</v>
      </c>
      <c r="V19" s="33"/>
      <c r="W19" s="33">
        <v>7044542</v>
      </c>
      <c r="X19" s="33"/>
      <c r="Y19" s="33">
        <f>384614+415386-50000</f>
        <v>750000</v>
      </c>
      <c r="Z19" s="33"/>
      <c r="AA19" s="33"/>
      <c r="AB19" s="33"/>
      <c r="AC19" s="33"/>
      <c r="AD19" s="33"/>
      <c r="AE19" s="33">
        <f>211464+918050</f>
        <v>1129514</v>
      </c>
      <c r="AF19" s="33">
        <f>815431+326202</f>
        <v>1141633</v>
      </c>
      <c r="AG19" s="33"/>
      <c r="AH19" s="33">
        <f>547100</f>
        <v>547100</v>
      </c>
      <c r="AI19" s="33"/>
      <c r="AJ19" s="33">
        <v>938554</v>
      </c>
      <c r="AK19" s="33"/>
      <c r="AL19" s="33"/>
      <c r="AM19" s="33"/>
      <c r="AN19" s="33"/>
      <c r="AO19" s="33"/>
      <c r="AP19" s="33"/>
      <c r="AQ19" s="33"/>
      <c r="AR19" s="33"/>
      <c r="AS19" s="33"/>
      <c r="AT19" s="33"/>
      <c r="AU19" s="33">
        <v>3408800</v>
      </c>
      <c r="AV19" s="33">
        <f>1513000+70000-10000</f>
        <v>1573000</v>
      </c>
      <c r="AW19" s="33">
        <v>50000</v>
      </c>
      <c r="AX19" s="33"/>
      <c r="AY19" s="33"/>
      <c r="AZ19" s="33"/>
      <c r="BA19" s="33"/>
      <c r="BB19" s="33"/>
      <c r="BC19" s="33"/>
      <c r="BD19" s="43"/>
      <c r="BE19" s="33"/>
      <c r="BF19" s="43">
        <f t="shared" si="0"/>
        <v>255646902.80000001</v>
      </c>
      <c r="BG19" s="33"/>
      <c r="BH19" s="33"/>
      <c r="BI19" s="33"/>
      <c r="BJ19" s="33"/>
      <c r="BK19" s="33"/>
      <c r="BL19" s="33"/>
      <c r="BM19" s="33"/>
      <c r="BN19" s="33"/>
      <c r="BO19" s="33"/>
      <c r="BP19" s="33"/>
      <c r="BQ19" s="33"/>
      <c r="BR19" s="33"/>
      <c r="BS19" s="33"/>
      <c r="BT19" s="33"/>
      <c r="BU19" s="33"/>
      <c r="BV19" s="33">
        <v>142000</v>
      </c>
      <c r="BW19" s="33"/>
      <c r="BX19" s="33"/>
      <c r="BY19" s="33"/>
      <c r="BZ19" s="33"/>
      <c r="CA19" s="33"/>
      <c r="CB19" s="33"/>
      <c r="CC19" s="33"/>
      <c r="CD19" s="33"/>
      <c r="CE19" s="43"/>
      <c r="CF19" s="43"/>
      <c r="CG19" s="43"/>
      <c r="CH19" s="43"/>
      <c r="CI19" s="43">
        <f t="shared" si="2"/>
        <v>142000</v>
      </c>
    </row>
    <row r="20" spans="1:87" ht="74.25" customHeight="1" x14ac:dyDescent="0.8">
      <c r="A20" s="14" t="s">
        <v>25</v>
      </c>
      <c r="B20" s="15" t="s">
        <v>115</v>
      </c>
      <c r="C20" s="34"/>
      <c r="D20" s="34"/>
      <c r="E20" s="34">
        <f>53262700-1797600</f>
        <v>51465100</v>
      </c>
      <c r="F20" s="34">
        <f>53675600-12050000+1168400+308683.35+31659700-678600+9320900+665600</f>
        <v>84070283.349999994</v>
      </c>
      <c r="G20" s="34">
        <f>263400-2500-23200+10800</f>
        <v>248500</v>
      </c>
      <c r="H20" s="33">
        <f>954088+100000-18000</f>
        <v>1036088</v>
      </c>
      <c r="I20" s="33"/>
      <c r="J20" s="33"/>
      <c r="K20" s="33"/>
      <c r="L20" s="33"/>
      <c r="M20" s="43">
        <f t="shared" si="1"/>
        <v>0</v>
      </c>
      <c r="N20" s="33"/>
      <c r="O20" s="33"/>
      <c r="P20" s="33"/>
      <c r="Q20" s="33"/>
      <c r="R20" s="33"/>
      <c r="S20" s="33"/>
      <c r="T20" s="33"/>
      <c r="U20" s="43">
        <f t="shared" si="3"/>
        <v>800000</v>
      </c>
      <c r="V20" s="33"/>
      <c r="W20" s="33"/>
      <c r="X20" s="33"/>
      <c r="Y20" s="33">
        <f>192307+207693-25000</f>
        <v>375000</v>
      </c>
      <c r="Z20" s="33"/>
      <c r="AA20" s="33"/>
      <c r="AB20" s="33">
        <v>110100</v>
      </c>
      <c r="AC20" s="33">
        <f>264900+50000</f>
        <v>314900</v>
      </c>
      <c r="AD20" s="33"/>
      <c r="AE20" s="33">
        <f>2349604+328302</f>
        <v>2677906</v>
      </c>
      <c r="AF20" s="33">
        <f>695327+278156</f>
        <v>973483</v>
      </c>
      <c r="AG20" s="33"/>
      <c r="AH20" s="33">
        <f>2087900</f>
        <v>2087900</v>
      </c>
      <c r="AI20" s="33"/>
      <c r="AJ20" s="33"/>
      <c r="AK20" s="33"/>
      <c r="AL20" s="33"/>
      <c r="AM20" s="33"/>
      <c r="AN20" s="33"/>
      <c r="AO20" s="33"/>
      <c r="AP20" s="33"/>
      <c r="AQ20" s="33"/>
      <c r="AR20" s="33"/>
      <c r="AS20" s="33"/>
      <c r="AT20" s="33"/>
      <c r="AU20" s="33">
        <v>1213800</v>
      </c>
      <c r="AV20" s="33">
        <f>1190000-45000+10000</f>
        <v>1155000</v>
      </c>
      <c r="AW20" s="33"/>
      <c r="AX20" s="33"/>
      <c r="AY20" s="33"/>
      <c r="AZ20" s="33"/>
      <c r="BA20" s="33"/>
      <c r="BB20" s="33"/>
      <c r="BC20" s="33"/>
      <c r="BD20" s="43"/>
      <c r="BE20" s="33"/>
      <c r="BF20" s="43">
        <f t="shared" si="0"/>
        <v>145728060.34999999</v>
      </c>
      <c r="BG20" s="33"/>
      <c r="BH20" s="33"/>
      <c r="BI20" s="33"/>
      <c r="BJ20" s="33"/>
      <c r="BK20" s="33">
        <v>2600000</v>
      </c>
      <c r="BL20" s="33">
        <v>84000</v>
      </c>
      <c r="BM20" s="33"/>
      <c r="BN20" s="33"/>
      <c r="BO20" s="33"/>
      <c r="BP20" s="33"/>
      <c r="BQ20" s="33"/>
      <c r="BR20" s="33"/>
      <c r="BS20" s="33"/>
      <c r="BT20" s="33"/>
      <c r="BU20" s="33"/>
      <c r="BV20" s="33"/>
      <c r="BW20" s="33"/>
      <c r="BX20" s="33"/>
      <c r="BY20" s="33"/>
      <c r="BZ20" s="33"/>
      <c r="CA20" s="33"/>
      <c r="CB20" s="33"/>
      <c r="CC20" s="33"/>
      <c r="CD20" s="33"/>
      <c r="CE20" s="43"/>
      <c r="CF20" s="43"/>
      <c r="CG20" s="43"/>
      <c r="CH20" s="43"/>
      <c r="CI20" s="43">
        <f t="shared" si="2"/>
        <v>2684000</v>
      </c>
    </row>
    <row r="21" spans="1:87" ht="74.25" customHeight="1" x14ac:dyDescent="0.8">
      <c r="A21" s="14" t="s">
        <v>26</v>
      </c>
      <c r="B21" s="15" t="s">
        <v>63</v>
      </c>
      <c r="C21" s="34"/>
      <c r="D21" s="34"/>
      <c r="E21" s="34">
        <f>131725900-7880700</f>
        <v>123845200</v>
      </c>
      <c r="F21" s="34">
        <f>101590000+18690000-11623500+170000+670712.4+75996100-1239600+3338200+440000+238600+215000+8031400+300000+12274000+1668500</f>
        <v>210759412.40000001</v>
      </c>
      <c r="G21" s="34">
        <f>559000-51500+94000-3400</f>
        <v>598100</v>
      </c>
      <c r="H21" s="33">
        <f>2413734-150000-158000</f>
        <v>2105734</v>
      </c>
      <c r="I21" s="33"/>
      <c r="J21" s="33"/>
      <c r="K21" s="33"/>
      <c r="L21" s="33">
        <f>14052394.43+1090048.31+699847.5-14052394.43</f>
        <v>1789895.8100000005</v>
      </c>
      <c r="M21" s="43">
        <f t="shared" si="1"/>
        <v>0</v>
      </c>
      <c r="N21" s="33"/>
      <c r="O21" s="33"/>
      <c r="P21" s="33"/>
      <c r="Q21" s="33"/>
      <c r="R21" s="33"/>
      <c r="S21" s="33"/>
      <c r="T21" s="33"/>
      <c r="U21" s="43">
        <f t="shared" si="3"/>
        <v>375000</v>
      </c>
      <c r="V21" s="33"/>
      <c r="W21" s="33"/>
      <c r="X21" s="33"/>
      <c r="Y21" s="33">
        <f>576921-176921-25000</f>
        <v>375000</v>
      </c>
      <c r="Z21" s="33"/>
      <c r="AA21" s="33"/>
      <c r="AB21" s="33"/>
      <c r="AC21" s="33"/>
      <c r="AD21" s="33"/>
      <c r="AE21" s="33">
        <f>93984+381916</f>
        <v>475900</v>
      </c>
      <c r="AF21" s="33">
        <f>1293055+517268+450000</f>
        <v>2260323</v>
      </c>
      <c r="AG21" s="33"/>
      <c r="AH21" s="33"/>
      <c r="AI21" s="33"/>
      <c r="AJ21" s="33">
        <v>14052394.43</v>
      </c>
      <c r="AK21" s="33"/>
      <c r="AL21" s="33"/>
      <c r="AM21" s="33"/>
      <c r="AN21" s="33"/>
      <c r="AO21" s="33"/>
      <c r="AP21" s="33"/>
      <c r="AQ21" s="33"/>
      <c r="AR21" s="33"/>
      <c r="AS21" s="33"/>
      <c r="AT21" s="33"/>
      <c r="AU21" s="33">
        <v>2664000</v>
      </c>
      <c r="AV21" s="33">
        <v>2930000</v>
      </c>
      <c r="AW21" s="33"/>
      <c r="AX21" s="33">
        <v>99000</v>
      </c>
      <c r="AY21" s="33"/>
      <c r="AZ21" s="33"/>
      <c r="BA21" s="33"/>
      <c r="BB21" s="33"/>
      <c r="BC21" s="33"/>
      <c r="BD21" s="43"/>
      <c r="BE21" s="33"/>
      <c r="BF21" s="43">
        <f t="shared" si="0"/>
        <v>361954959.63999999</v>
      </c>
      <c r="BG21" s="33"/>
      <c r="BH21" s="33"/>
      <c r="BI21" s="33"/>
      <c r="BJ21" s="33"/>
      <c r="BK21" s="33"/>
      <c r="BL21" s="33">
        <v>216000</v>
      </c>
      <c r="BM21" s="33"/>
      <c r="BN21" s="33"/>
      <c r="BO21" s="33"/>
      <c r="BP21" s="33"/>
      <c r="BQ21" s="33"/>
      <c r="BR21" s="33">
        <f>1891910</f>
        <v>1891910</v>
      </c>
      <c r="BS21" s="33"/>
      <c r="BT21" s="33"/>
      <c r="BU21" s="33"/>
      <c r="BV21" s="33"/>
      <c r="BW21" s="33"/>
      <c r="BX21" s="33"/>
      <c r="BY21" s="33"/>
      <c r="BZ21" s="33"/>
      <c r="CA21" s="33"/>
      <c r="CB21" s="33"/>
      <c r="CC21" s="33"/>
      <c r="CD21" s="33"/>
      <c r="CE21" s="43"/>
      <c r="CF21" s="43"/>
      <c r="CG21" s="43"/>
      <c r="CH21" s="43"/>
      <c r="CI21" s="43">
        <f t="shared" si="2"/>
        <v>2107910</v>
      </c>
    </row>
    <row r="22" spans="1:87" ht="74.25" customHeight="1" x14ac:dyDescent="0.8">
      <c r="A22" s="14" t="s">
        <v>27</v>
      </c>
      <c r="B22" s="15" t="s">
        <v>64</v>
      </c>
      <c r="C22" s="34"/>
      <c r="D22" s="34"/>
      <c r="E22" s="34">
        <f>30698500-3760500</f>
        <v>26938000</v>
      </c>
      <c r="F22" s="34">
        <f>9050000-2550000+788600+292100+532200+976800-45000+465927.09+2680100-113700+344000+45000+596100+111000+100000+1027700+2357500+132900</f>
        <v>16791227.09</v>
      </c>
      <c r="G22" s="34"/>
      <c r="H22" s="33">
        <f>1735671-40000-55000</f>
        <v>1640671</v>
      </c>
      <c r="I22" s="33"/>
      <c r="J22" s="33"/>
      <c r="K22" s="33"/>
      <c r="L22" s="33">
        <f>182587.82</f>
        <v>182587.82</v>
      </c>
      <c r="M22" s="43">
        <f t="shared" si="1"/>
        <v>0</v>
      </c>
      <c r="N22" s="33"/>
      <c r="O22" s="33"/>
      <c r="P22" s="33"/>
      <c r="Q22" s="33"/>
      <c r="R22" s="33"/>
      <c r="S22" s="33"/>
      <c r="T22" s="33"/>
      <c r="U22" s="43">
        <f t="shared" si="3"/>
        <v>0</v>
      </c>
      <c r="V22" s="33"/>
      <c r="W22" s="33"/>
      <c r="X22" s="33"/>
      <c r="Y22" s="33">
        <f>384614-384614</f>
        <v>0</v>
      </c>
      <c r="Z22" s="33"/>
      <c r="AA22" s="33"/>
      <c r="AB22" s="33"/>
      <c r="AC22" s="33"/>
      <c r="AD22" s="33"/>
      <c r="AE22" s="33">
        <f>750588</f>
        <v>750588</v>
      </c>
      <c r="AF22" s="33">
        <f>362088+144848-133403</f>
        <v>373533</v>
      </c>
      <c r="AG22" s="33"/>
      <c r="AH22" s="33"/>
      <c r="AI22" s="33"/>
      <c r="AJ22" s="33"/>
      <c r="AK22" s="33"/>
      <c r="AL22" s="33"/>
      <c r="AM22" s="33"/>
      <c r="AN22" s="33"/>
      <c r="AO22" s="33"/>
      <c r="AP22" s="33"/>
      <c r="AQ22" s="33"/>
      <c r="AR22" s="33"/>
      <c r="AS22" s="33"/>
      <c r="AT22" s="33"/>
      <c r="AU22" s="33"/>
      <c r="AV22" s="33">
        <v>750000</v>
      </c>
      <c r="AW22" s="33"/>
      <c r="AX22" s="33"/>
      <c r="AY22" s="33"/>
      <c r="AZ22" s="33"/>
      <c r="BA22" s="33"/>
      <c r="BB22" s="33"/>
      <c r="BC22" s="33"/>
      <c r="BD22" s="43"/>
      <c r="BE22" s="33"/>
      <c r="BF22" s="43">
        <f t="shared" si="0"/>
        <v>47426606.910000004</v>
      </c>
      <c r="BG22" s="33"/>
      <c r="BH22" s="33"/>
      <c r="BI22" s="33"/>
      <c r="BJ22" s="33"/>
      <c r="BK22" s="33"/>
      <c r="BL22" s="33">
        <v>29000</v>
      </c>
      <c r="BM22" s="33"/>
      <c r="BN22" s="33"/>
      <c r="BO22" s="33"/>
      <c r="BP22" s="33"/>
      <c r="BQ22" s="33"/>
      <c r="BR22" s="33"/>
      <c r="BS22" s="33"/>
      <c r="BT22" s="33"/>
      <c r="BU22" s="33"/>
      <c r="BV22" s="33"/>
      <c r="BW22" s="33"/>
      <c r="BX22" s="33"/>
      <c r="BY22" s="33"/>
      <c r="BZ22" s="33"/>
      <c r="CA22" s="33"/>
      <c r="CB22" s="33"/>
      <c r="CC22" s="33"/>
      <c r="CD22" s="33"/>
      <c r="CE22" s="43"/>
      <c r="CF22" s="43"/>
      <c r="CG22" s="43"/>
      <c r="CH22" s="43"/>
      <c r="CI22" s="43">
        <f t="shared" si="2"/>
        <v>29000</v>
      </c>
    </row>
    <row r="23" spans="1:87" ht="74.25" customHeight="1" x14ac:dyDescent="0.8">
      <c r="A23" s="14" t="s">
        <v>28</v>
      </c>
      <c r="B23" s="15" t="s">
        <v>65</v>
      </c>
      <c r="C23" s="34"/>
      <c r="D23" s="34"/>
      <c r="E23" s="34">
        <f>43137100-2162100</f>
        <v>40975000</v>
      </c>
      <c r="F23" s="34">
        <f>52478900-8900000-2805400-5820200-120000+334985.97+34689800-804100+9410600+626100</f>
        <v>79090685.969999999</v>
      </c>
      <c r="G23" s="34">
        <f>380200+29000-22600+14400</f>
        <v>401000</v>
      </c>
      <c r="H23" s="33">
        <f>1226429+280000-12000</f>
        <v>1494429</v>
      </c>
      <c r="I23" s="33"/>
      <c r="J23" s="33"/>
      <c r="K23" s="33"/>
      <c r="L23" s="33">
        <f>7812.77+279182</f>
        <v>286994.77</v>
      </c>
      <c r="M23" s="43">
        <f t="shared" si="1"/>
        <v>0</v>
      </c>
      <c r="N23" s="33"/>
      <c r="O23" s="33"/>
      <c r="P23" s="33"/>
      <c r="Q23" s="33"/>
      <c r="R23" s="33"/>
      <c r="S23" s="33"/>
      <c r="T23" s="33"/>
      <c r="U23" s="43">
        <f t="shared" si="3"/>
        <v>0</v>
      </c>
      <c r="V23" s="33"/>
      <c r="W23" s="33"/>
      <c r="X23" s="33"/>
      <c r="Y23" s="33"/>
      <c r="Z23" s="33"/>
      <c r="AA23" s="33"/>
      <c r="AB23" s="33"/>
      <c r="AC23" s="33"/>
      <c r="AD23" s="33"/>
      <c r="AE23" s="33">
        <f>53613</f>
        <v>53613</v>
      </c>
      <c r="AF23" s="33">
        <f>352246+140911+180000</f>
        <v>673157</v>
      </c>
      <c r="AG23" s="33"/>
      <c r="AH23" s="33"/>
      <c r="AI23" s="33"/>
      <c r="AJ23" s="33"/>
      <c r="AK23" s="33"/>
      <c r="AL23" s="33"/>
      <c r="AM23" s="33"/>
      <c r="AN23" s="33"/>
      <c r="AO23" s="33"/>
      <c r="AP23" s="33"/>
      <c r="AQ23" s="33"/>
      <c r="AR23" s="33"/>
      <c r="AS23" s="33"/>
      <c r="AT23" s="33"/>
      <c r="AU23" s="33">
        <v>1020700</v>
      </c>
      <c r="AV23" s="33">
        <v>775000</v>
      </c>
      <c r="AW23" s="33"/>
      <c r="AX23" s="33"/>
      <c r="AY23" s="33"/>
      <c r="AZ23" s="33"/>
      <c r="BA23" s="33"/>
      <c r="BB23" s="33">
        <v>571000</v>
      </c>
      <c r="BC23" s="33"/>
      <c r="BD23" s="43"/>
      <c r="BE23" s="33"/>
      <c r="BF23" s="43">
        <f t="shared" si="0"/>
        <v>125341579.73999999</v>
      </c>
      <c r="BG23" s="33"/>
      <c r="BH23" s="33"/>
      <c r="BI23" s="33"/>
      <c r="BJ23" s="33"/>
      <c r="BK23" s="33"/>
      <c r="BL23" s="33"/>
      <c r="BM23" s="33"/>
      <c r="BN23" s="33"/>
      <c r="BO23" s="33"/>
      <c r="BP23" s="33"/>
      <c r="BQ23" s="33"/>
      <c r="BR23" s="33"/>
      <c r="BS23" s="33"/>
      <c r="BT23" s="33"/>
      <c r="BU23" s="33"/>
      <c r="BV23" s="33">
        <f>31000</f>
        <v>31000</v>
      </c>
      <c r="BW23" s="33"/>
      <c r="BX23" s="33"/>
      <c r="BY23" s="33"/>
      <c r="BZ23" s="33"/>
      <c r="CA23" s="33"/>
      <c r="CB23" s="33"/>
      <c r="CC23" s="33"/>
      <c r="CD23" s="33"/>
      <c r="CE23" s="43"/>
      <c r="CF23" s="43"/>
      <c r="CG23" s="43"/>
      <c r="CH23" s="43"/>
      <c r="CI23" s="43">
        <f t="shared" si="2"/>
        <v>31000</v>
      </c>
    </row>
    <row r="24" spans="1:87" ht="74.25" customHeight="1" x14ac:dyDescent="0.8">
      <c r="A24" s="14" t="s">
        <v>29</v>
      </c>
      <c r="B24" s="15" t="s">
        <v>66</v>
      </c>
      <c r="C24" s="34"/>
      <c r="D24" s="34"/>
      <c r="E24" s="34">
        <f>29121300-2190500</f>
        <v>26930800</v>
      </c>
      <c r="F24" s="34">
        <f>9315100-2740000+529200+222200+815600+877400-95000+338918.56+2985000-95100+66000+79100+987100+224000+202000+848000+658100+1182800+130800</f>
        <v>16531218.560000001</v>
      </c>
      <c r="G24" s="34">
        <f>178100+26000-3800+20400</f>
        <v>220700</v>
      </c>
      <c r="H24" s="33">
        <f>1803720-100000-170000</f>
        <v>1533720</v>
      </c>
      <c r="I24" s="33"/>
      <c r="J24" s="33"/>
      <c r="K24" s="33"/>
      <c r="L24" s="33">
        <f>235596.32</f>
        <v>235596.32</v>
      </c>
      <c r="M24" s="43">
        <f t="shared" si="1"/>
        <v>0</v>
      </c>
      <c r="N24" s="33"/>
      <c r="O24" s="33"/>
      <c r="P24" s="33"/>
      <c r="Q24" s="33"/>
      <c r="R24" s="33"/>
      <c r="S24" s="33"/>
      <c r="T24" s="33"/>
      <c r="U24" s="43">
        <f t="shared" si="3"/>
        <v>0</v>
      </c>
      <c r="V24" s="33"/>
      <c r="W24" s="33"/>
      <c r="X24" s="33"/>
      <c r="Y24" s="33"/>
      <c r="Z24" s="33"/>
      <c r="AA24" s="33"/>
      <c r="AB24" s="33"/>
      <c r="AC24" s="33"/>
      <c r="AD24" s="33"/>
      <c r="AE24" s="33">
        <v>23496</v>
      </c>
      <c r="AF24" s="33">
        <f>521756+208721</f>
        <v>730477</v>
      </c>
      <c r="AG24" s="33"/>
      <c r="AH24" s="33"/>
      <c r="AI24" s="33"/>
      <c r="AJ24" s="33"/>
      <c r="AK24" s="33"/>
      <c r="AL24" s="33"/>
      <c r="AM24" s="33"/>
      <c r="AN24" s="33"/>
      <c r="AO24" s="33"/>
      <c r="AP24" s="33"/>
      <c r="AQ24" s="33"/>
      <c r="AR24" s="33"/>
      <c r="AS24" s="33"/>
      <c r="AT24" s="33"/>
      <c r="AU24" s="33"/>
      <c r="AV24" s="33">
        <v>550000</v>
      </c>
      <c r="AW24" s="33"/>
      <c r="AX24" s="33">
        <v>46800</v>
      </c>
      <c r="AY24" s="33"/>
      <c r="AZ24" s="33"/>
      <c r="BA24" s="33"/>
      <c r="BB24" s="33"/>
      <c r="BC24" s="33"/>
      <c r="BD24" s="43"/>
      <c r="BE24" s="33"/>
      <c r="BF24" s="43">
        <f t="shared" si="0"/>
        <v>46802807.880000003</v>
      </c>
      <c r="BG24" s="33"/>
      <c r="BH24" s="33"/>
      <c r="BI24" s="33"/>
      <c r="BJ24" s="33"/>
      <c r="BK24" s="33">
        <v>98271</v>
      </c>
      <c r="BL24" s="33">
        <v>29000</v>
      </c>
      <c r="BM24" s="33"/>
      <c r="BN24" s="33"/>
      <c r="BO24" s="33"/>
      <c r="BP24" s="33"/>
      <c r="BQ24" s="33"/>
      <c r="BR24" s="33"/>
      <c r="BS24" s="33"/>
      <c r="BT24" s="33"/>
      <c r="BU24" s="33"/>
      <c r="BV24" s="33"/>
      <c r="BW24" s="33"/>
      <c r="BX24" s="33"/>
      <c r="BY24" s="33"/>
      <c r="BZ24" s="33"/>
      <c r="CA24" s="33"/>
      <c r="CB24" s="33"/>
      <c r="CC24" s="33"/>
      <c r="CD24" s="33"/>
      <c r="CE24" s="43"/>
      <c r="CF24" s="43"/>
      <c r="CG24" s="43"/>
      <c r="CH24" s="43"/>
      <c r="CI24" s="43">
        <f t="shared" si="2"/>
        <v>127271</v>
      </c>
    </row>
    <row r="25" spans="1:87" ht="74.25" customHeight="1" x14ac:dyDescent="0.8">
      <c r="A25" s="14"/>
      <c r="B25" s="15" t="s">
        <v>56</v>
      </c>
      <c r="C25" s="34">
        <f t="shared" ref="C25:L25" si="4">C12+C13+C14+C15+C16+C17+C18+C19+C20+C21+C22+C23+C24</f>
        <v>0</v>
      </c>
      <c r="D25" s="34">
        <f t="shared" si="4"/>
        <v>0</v>
      </c>
      <c r="E25" s="34">
        <f t="shared" si="4"/>
        <v>2566844500</v>
      </c>
      <c r="F25" s="34">
        <f t="shared" si="4"/>
        <v>3733580016.4000001</v>
      </c>
      <c r="G25" s="34">
        <f t="shared" si="4"/>
        <v>6325740</v>
      </c>
      <c r="H25" s="34">
        <f t="shared" si="4"/>
        <v>44380624</v>
      </c>
      <c r="I25" s="34">
        <f t="shared" si="4"/>
        <v>952030</v>
      </c>
      <c r="J25" s="34">
        <f t="shared" si="4"/>
        <v>8594363</v>
      </c>
      <c r="K25" s="34">
        <f t="shared" si="4"/>
        <v>1000000</v>
      </c>
      <c r="L25" s="34">
        <f t="shared" si="4"/>
        <v>36386420.750000007</v>
      </c>
      <c r="M25" s="43">
        <f t="shared" si="1"/>
        <v>0</v>
      </c>
      <c r="N25" s="34"/>
      <c r="O25" s="34"/>
      <c r="P25" s="34"/>
      <c r="Q25" s="34"/>
      <c r="R25" s="34"/>
      <c r="S25" s="34"/>
      <c r="T25" s="34"/>
      <c r="U25" s="43">
        <f t="shared" si="3"/>
        <v>32463342</v>
      </c>
      <c r="V25" s="34">
        <f t="shared" ref="V25:AD25" si="5">V12+V13+V14+V15+V16+V17+V18+V19+V20+V21+V22+V23+V24</f>
        <v>300000</v>
      </c>
      <c r="W25" s="34">
        <f t="shared" si="5"/>
        <v>11488342</v>
      </c>
      <c r="X25" s="34">
        <f t="shared" si="5"/>
        <v>0</v>
      </c>
      <c r="Y25" s="34">
        <f t="shared" si="5"/>
        <v>13875000</v>
      </c>
      <c r="Z25" s="34">
        <f t="shared" si="5"/>
        <v>0</v>
      </c>
      <c r="AA25" s="34">
        <f t="shared" si="5"/>
        <v>0</v>
      </c>
      <c r="AB25" s="34">
        <f t="shared" si="5"/>
        <v>1761630</v>
      </c>
      <c r="AC25" s="34">
        <f t="shared" si="5"/>
        <v>5038370</v>
      </c>
      <c r="AD25" s="34">
        <f t="shared" si="5"/>
        <v>0</v>
      </c>
      <c r="AE25" s="34">
        <f t="shared" ref="AE25:AJ25" si="6">AE12+AE13+AE14+AE15+AE16+AE17+AE18+AE19+AE20+AE21+AE22+AE23+AE24</f>
        <v>31120859</v>
      </c>
      <c r="AF25" s="34">
        <f t="shared" si="6"/>
        <v>46170823</v>
      </c>
      <c r="AG25" s="34">
        <f t="shared" si="6"/>
        <v>18360614</v>
      </c>
      <c r="AH25" s="34">
        <f t="shared" si="6"/>
        <v>44362600</v>
      </c>
      <c r="AI25" s="34">
        <f t="shared" si="6"/>
        <v>2025000</v>
      </c>
      <c r="AJ25" s="34">
        <f t="shared" si="6"/>
        <v>74162057.520000011</v>
      </c>
      <c r="AK25" s="34"/>
      <c r="AL25" s="34">
        <f>AL12+AL13+AL14+AL15+AL16+AL17+AL18+AL19+AL20+AL21+AL22+AL23+AL24</f>
        <v>0</v>
      </c>
      <c r="AM25" s="34">
        <f>AM12+AM13+AM14+AM15+AM16+AM17+AM18+AM19+AM20+AM21+AM22+AM23+AM24</f>
        <v>0</v>
      </c>
      <c r="AN25" s="34">
        <f>AN12+AN13+AN14+AN15+AN16+AN17+AN18+AN19+AN20+AN21+AN22+AN23+AN24</f>
        <v>0</v>
      </c>
      <c r="AO25" s="34">
        <f>AO12+AO13+AO14+AO15+AO16+AO17+AO18+AO19+AO20+AO21+AO22+AO23+AO24</f>
        <v>0</v>
      </c>
      <c r="AP25" s="34">
        <f>AP12+AP13+AP14+AP15+AP16+AP17+AP18+AP19+AP20+AP21+AP22+AP23+AP24</f>
        <v>0</v>
      </c>
      <c r="AQ25" s="34"/>
      <c r="AR25" s="34">
        <f t="shared" ref="AR25:BB25" si="7">AR12+AR13+AR14+AR15+AR16+AR17+AR18+AR19+AR20+AR21+AR22+AR23+AR24</f>
        <v>0</v>
      </c>
      <c r="AS25" s="34">
        <f t="shared" si="7"/>
        <v>0</v>
      </c>
      <c r="AT25" s="34">
        <f t="shared" si="7"/>
        <v>0</v>
      </c>
      <c r="AU25" s="34">
        <f t="shared" si="7"/>
        <v>20000000</v>
      </c>
      <c r="AV25" s="34">
        <f t="shared" si="7"/>
        <v>40711000</v>
      </c>
      <c r="AW25" s="34">
        <f t="shared" si="7"/>
        <v>859965.42</v>
      </c>
      <c r="AX25" s="34">
        <f t="shared" si="7"/>
        <v>999999.04</v>
      </c>
      <c r="AY25" s="34">
        <f t="shared" si="7"/>
        <v>41600</v>
      </c>
      <c r="AZ25" s="34">
        <f t="shared" si="7"/>
        <v>0</v>
      </c>
      <c r="BA25" s="34">
        <f t="shared" si="7"/>
        <v>0</v>
      </c>
      <c r="BB25" s="34">
        <f t="shared" si="7"/>
        <v>971000</v>
      </c>
      <c r="BC25" s="34"/>
      <c r="BD25" s="44"/>
      <c r="BE25" s="34">
        <f>BE12+BE13+BE14+BE15+BE16+BE17+BE18+BE19+BE20+BE21+BE22+BE23+BE24</f>
        <v>6900000</v>
      </c>
      <c r="BF25" s="43">
        <f t="shared" si="0"/>
        <v>6717212554.1300001</v>
      </c>
      <c r="BG25" s="34"/>
      <c r="BH25" s="34">
        <f t="shared" ref="BH25:BY25" si="8">BH12+BH13+BH14+BH15+BH16+BH17+BH18+BH19+BH20+BH21+BH22+BH23+BH24</f>
        <v>0</v>
      </c>
      <c r="BI25" s="34">
        <f t="shared" si="8"/>
        <v>11660100</v>
      </c>
      <c r="BJ25" s="34">
        <f t="shared" si="8"/>
        <v>0</v>
      </c>
      <c r="BK25" s="34">
        <f t="shared" si="8"/>
        <v>7698271</v>
      </c>
      <c r="BL25" s="34">
        <f t="shared" si="8"/>
        <v>543000</v>
      </c>
      <c r="BM25" s="34">
        <f t="shared" si="8"/>
        <v>58500</v>
      </c>
      <c r="BN25" s="34">
        <f t="shared" si="8"/>
        <v>907000</v>
      </c>
      <c r="BO25" s="34">
        <f>BO12+BO13+BO14+BO15+BO16+BO17+BO18+BO19+BO20+BO21+BO22+BO23+BO24</f>
        <v>2504261</v>
      </c>
      <c r="BP25" s="34">
        <f>BP12+BP13+BP14+BP15+BP16+BP17+BP18+BP19+BP20+BP21+BP22+BP23+BP24</f>
        <v>219800</v>
      </c>
      <c r="BQ25" s="34">
        <f>BQ12+BQ13+BQ14+BQ15+BQ16+BQ17+BQ18+BQ19+BQ20+BQ21+BQ22+BQ23+BQ24</f>
        <v>52500</v>
      </c>
      <c r="BR25" s="34">
        <f t="shared" si="8"/>
        <v>1891910</v>
      </c>
      <c r="BS25" s="34">
        <f>BS12+BS13+BS14+BS15+BS16+BS17+BS18+BS19+BS20+BS21+BS22+BS23+BS24</f>
        <v>1350000</v>
      </c>
      <c r="BT25" s="34">
        <f>BT12+BT13+BT14+BT15+BT16+BT17+BT18+BT19+BT20+BT21+BT22+BT23+BT24</f>
        <v>2150000</v>
      </c>
      <c r="BU25" s="34">
        <f>BU12+BU13+BU14+BU15+BU16+BU17+BU18+BU19+BU20+BU21+BU22+BU23+BU24</f>
        <v>900000</v>
      </c>
      <c r="BV25" s="34">
        <f>BV12+BV13+BV14+BV15+BV16+BV17+BV18+BV19+BV20+BV21+BV22+BV23+BV24</f>
        <v>2961000</v>
      </c>
      <c r="BW25" s="34">
        <f t="shared" si="8"/>
        <v>945262</v>
      </c>
      <c r="BX25" s="34">
        <f t="shared" si="8"/>
        <v>40000</v>
      </c>
      <c r="BY25" s="34">
        <f t="shared" si="8"/>
        <v>727700</v>
      </c>
      <c r="BZ25" s="34">
        <f t="shared" ref="BZ25:CG25" si="9">BZ12+BZ13+BZ14+BZ15+BZ16+BZ17+BZ18+BZ19+BZ20+BZ21+BZ22+BZ23+BZ24</f>
        <v>40000000</v>
      </c>
      <c r="CA25" s="34">
        <f t="shared" si="9"/>
        <v>5000000</v>
      </c>
      <c r="CB25" s="34">
        <f t="shared" si="9"/>
        <v>0</v>
      </c>
      <c r="CC25" s="34">
        <f t="shared" si="9"/>
        <v>2955547</v>
      </c>
      <c r="CD25" s="34">
        <f t="shared" si="9"/>
        <v>7500000</v>
      </c>
      <c r="CE25" s="34">
        <f t="shared" si="9"/>
        <v>0</v>
      </c>
      <c r="CF25" s="34">
        <f t="shared" si="9"/>
        <v>5127000</v>
      </c>
      <c r="CG25" s="34">
        <f t="shared" si="9"/>
        <v>5127000</v>
      </c>
      <c r="CH25" s="44"/>
      <c r="CI25" s="43">
        <f t="shared" si="2"/>
        <v>95191851</v>
      </c>
    </row>
    <row r="26" spans="1:87" ht="74.25" customHeight="1" x14ac:dyDescent="0.8">
      <c r="A26" s="14" t="s">
        <v>30</v>
      </c>
      <c r="B26" s="15" t="s">
        <v>55</v>
      </c>
      <c r="C26" s="34"/>
      <c r="D26" s="34">
        <v>250000</v>
      </c>
      <c r="E26" s="34">
        <f>85794600-4824900</f>
        <v>80969700</v>
      </c>
      <c r="F26" s="34">
        <f>85676100-15200000-10904000-100000-554610.77+44656400-846500+137600+17191100+2029200+974200</f>
        <v>123059489.22999999</v>
      </c>
      <c r="G26" s="34">
        <f>2146000-121000+49200+66200</f>
        <v>2140400</v>
      </c>
      <c r="H26" s="33">
        <f>4954226-200000+100000+79000</f>
        <v>4933226</v>
      </c>
      <c r="I26" s="33"/>
      <c r="J26" s="33"/>
      <c r="K26" s="33"/>
      <c r="L26" s="33">
        <f>1714391.05</f>
        <v>1714391.05</v>
      </c>
      <c r="M26" s="43">
        <f t="shared" si="1"/>
        <v>0</v>
      </c>
      <c r="N26" s="43"/>
      <c r="O26" s="43"/>
      <c r="P26" s="43"/>
      <c r="Q26" s="43"/>
      <c r="R26" s="43"/>
      <c r="S26" s="43"/>
      <c r="T26" s="43"/>
      <c r="U26" s="43">
        <f t="shared" si="3"/>
        <v>0</v>
      </c>
      <c r="V26" s="33"/>
      <c r="W26" s="33"/>
      <c r="X26" s="33"/>
      <c r="Y26" s="33"/>
      <c r="Z26" s="33"/>
      <c r="AA26" s="33"/>
      <c r="AB26" s="33"/>
      <c r="AC26" s="33"/>
      <c r="AD26" s="33"/>
      <c r="AE26" s="33"/>
      <c r="AF26" s="33"/>
      <c r="AG26" s="33">
        <v>657880</v>
      </c>
      <c r="AH26" s="33"/>
      <c r="AI26" s="33"/>
      <c r="AJ26" s="33"/>
      <c r="AK26" s="33"/>
      <c r="AL26" s="33"/>
      <c r="AM26" s="33"/>
      <c r="AN26" s="33"/>
      <c r="AO26" s="33"/>
      <c r="AP26" s="33"/>
      <c r="AQ26" s="33"/>
      <c r="AR26" s="33"/>
      <c r="AS26" s="33"/>
      <c r="AT26" s="33"/>
      <c r="AU26" s="33"/>
      <c r="AV26" s="33">
        <f>365000+5000</f>
        <v>370000</v>
      </c>
      <c r="AW26" s="33"/>
      <c r="AX26" s="33"/>
      <c r="AY26" s="33"/>
      <c r="AZ26" s="33">
        <v>90000</v>
      </c>
      <c r="BA26" s="33"/>
      <c r="BB26" s="33"/>
      <c r="BC26" s="33"/>
      <c r="BD26" s="43"/>
      <c r="BE26" s="33"/>
      <c r="BF26" s="43">
        <f t="shared" si="0"/>
        <v>214185086.28</v>
      </c>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43"/>
      <c r="CF26" s="43"/>
      <c r="CG26" s="43"/>
      <c r="CH26" s="43"/>
      <c r="CI26" s="43">
        <f t="shared" si="2"/>
        <v>0</v>
      </c>
    </row>
    <row r="27" spans="1:87" ht="74.25" customHeight="1" x14ac:dyDescent="0.8">
      <c r="A27" s="14" t="s">
        <v>31</v>
      </c>
      <c r="B27" s="15" t="s">
        <v>67</v>
      </c>
      <c r="C27" s="34"/>
      <c r="D27" s="34"/>
      <c r="E27" s="34">
        <f>60618400-1772400</f>
        <v>58846000</v>
      </c>
      <c r="F27" s="34">
        <f>45153600-6850000-8983500-350000-291001.93+33126500-586900+1676600+6776700+555900</f>
        <v>70227898.069999993</v>
      </c>
      <c r="G27" s="34">
        <f>1540900+151000+73400+246500</f>
        <v>2011800</v>
      </c>
      <c r="H27" s="33">
        <f>1656517+200000-2000</f>
        <v>1854517</v>
      </c>
      <c r="I27" s="33"/>
      <c r="J27" s="33"/>
      <c r="K27" s="33"/>
      <c r="L27" s="33"/>
      <c r="M27" s="43">
        <f t="shared" si="1"/>
        <v>171900</v>
      </c>
      <c r="N27" s="33"/>
      <c r="O27" s="33"/>
      <c r="P27" s="33"/>
      <c r="Q27" s="33"/>
      <c r="R27" s="33">
        <v>170700</v>
      </c>
      <c r="S27" s="33"/>
      <c r="T27" s="33">
        <v>1200</v>
      </c>
      <c r="U27" s="43">
        <f t="shared" si="3"/>
        <v>750000</v>
      </c>
      <c r="V27" s="33"/>
      <c r="W27" s="33"/>
      <c r="X27" s="33"/>
      <c r="Y27" s="33">
        <f>769228+430772-75000-375000</f>
        <v>750000</v>
      </c>
      <c r="Z27" s="33"/>
      <c r="AA27" s="33"/>
      <c r="AB27" s="33"/>
      <c r="AC27" s="33"/>
      <c r="AD27" s="33"/>
      <c r="AE27" s="33">
        <f>93984+540620</f>
        <v>634604</v>
      </c>
      <c r="AF27" s="33">
        <f>417614+167061-126331</f>
        <v>458344</v>
      </c>
      <c r="AG27" s="33">
        <f>491730</f>
        <v>491730</v>
      </c>
      <c r="AH27" s="33">
        <f>1200000+708100</f>
        <v>1908100</v>
      </c>
      <c r="AI27" s="33"/>
      <c r="AJ27" s="33"/>
      <c r="AK27" s="33"/>
      <c r="AL27" s="33"/>
      <c r="AM27" s="33"/>
      <c r="AN27" s="33"/>
      <c r="AO27" s="33"/>
      <c r="AP27" s="33"/>
      <c r="AQ27" s="33"/>
      <c r="AR27" s="33"/>
      <c r="AS27" s="33"/>
      <c r="AT27" s="33"/>
      <c r="AU27" s="33"/>
      <c r="AV27" s="33">
        <f>470000-15000</f>
        <v>455000</v>
      </c>
      <c r="AW27" s="33"/>
      <c r="AX27" s="33"/>
      <c r="AY27" s="33"/>
      <c r="AZ27" s="33">
        <f>59000+54000+82000</f>
        <v>195000</v>
      </c>
      <c r="BA27" s="33"/>
      <c r="BB27" s="33">
        <v>260000</v>
      </c>
      <c r="BC27" s="33">
        <v>600000</v>
      </c>
      <c r="BD27" s="43"/>
      <c r="BE27" s="33"/>
      <c r="BF27" s="43">
        <f t="shared" si="0"/>
        <v>138864893.06999999</v>
      </c>
      <c r="BG27" s="33"/>
      <c r="BH27" s="33"/>
      <c r="BI27" s="33"/>
      <c r="BJ27" s="33"/>
      <c r="BK27" s="33"/>
      <c r="BL27" s="33">
        <f>32000</f>
        <v>32000</v>
      </c>
      <c r="BM27" s="33"/>
      <c r="BN27" s="33"/>
      <c r="BO27" s="33"/>
      <c r="BP27" s="33"/>
      <c r="BQ27" s="33"/>
      <c r="BR27" s="33"/>
      <c r="BS27" s="33"/>
      <c r="BT27" s="33"/>
      <c r="BU27" s="33"/>
      <c r="BV27" s="33"/>
      <c r="BW27" s="33"/>
      <c r="BX27" s="33"/>
      <c r="BY27" s="33"/>
      <c r="BZ27" s="33"/>
      <c r="CA27" s="33"/>
      <c r="CB27" s="33"/>
      <c r="CC27" s="33"/>
      <c r="CD27" s="33"/>
      <c r="CE27" s="43"/>
      <c r="CF27" s="43"/>
      <c r="CG27" s="43"/>
      <c r="CH27" s="43"/>
      <c r="CI27" s="43">
        <f t="shared" si="2"/>
        <v>32000</v>
      </c>
    </row>
    <row r="28" spans="1:87" ht="74.25" customHeight="1" x14ac:dyDescent="0.8">
      <c r="A28" s="14" t="s">
        <v>32</v>
      </c>
      <c r="B28" s="15" t="s">
        <v>68</v>
      </c>
      <c r="C28" s="34"/>
      <c r="D28" s="34"/>
      <c r="E28" s="34">
        <f>93301000-2453300</f>
        <v>90847700</v>
      </c>
      <c r="F28" s="34">
        <f>66934900-10550000-2558800+40000-400568.18+45665300-823800-5000000+8903400+10600900+900200</f>
        <v>113711531.81999999</v>
      </c>
      <c r="G28" s="34">
        <f>3238600-322000-424000-75600+107400</f>
        <v>2524400</v>
      </c>
      <c r="H28" s="33">
        <f>7962859-200000-430000</f>
        <v>7332859</v>
      </c>
      <c r="I28" s="33"/>
      <c r="J28" s="33"/>
      <c r="K28" s="33"/>
      <c r="L28" s="33">
        <f>70187-70187</f>
        <v>0</v>
      </c>
      <c r="M28" s="43">
        <f t="shared" si="1"/>
        <v>377600</v>
      </c>
      <c r="N28" s="33"/>
      <c r="O28" s="33"/>
      <c r="P28" s="33"/>
      <c r="Q28" s="33"/>
      <c r="R28" s="33">
        <v>375800</v>
      </c>
      <c r="S28" s="33"/>
      <c r="T28" s="33">
        <v>1800</v>
      </c>
      <c r="U28" s="43">
        <f t="shared" si="3"/>
        <v>0</v>
      </c>
      <c r="V28" s="33"/>
      <c r="W28" s="33"/>
      <c r="X28" s="33"/>
      <c r="Y28" s="33"/>
      <c r="Z28" s="33"/>
      <c r="AA28" s="33"/>
      <c r="AB28" s="33"/>
      <c r="AC28" s="33"/>
      <c r="AD28" s="33"/>
      <c r="AE28" s="33"/>
      <c r="AF28" s="33">
        <f>588760+235525-124300</f>
        <v>699985</v>
      </c>
      <c r="AG28" s="33"/>
      <c r="AH28" s="33">
        <f>1100000+350000</f>
        <v>1450000</v>
      </c>
      <c r="AI28" s="33"/>
      <c r="AJ28" s="33">
        <v>70187</v>
      </c>
      <c r="AK28" s="33"/>
      <c r="AL28" s="33"/>
      <c r="AM28" s="33"/>
      <c r="AN28" s="33"/>
      <c r="AO28" s="33"/>
      <c r="AP28" s="33"/>
      <c r="AQ28" s="33"/>
      <c r="AR28" s="33"/>
      <c r="AS28" s="33"/>
      <c r="AT28" s="33"/>
      <c r="AU28" s="33"/>
      <c r="AV28" s="33">
        <f>680000+95000</f>
        <v>775000</v>
      </c>
      <c r="AW28" s="33"/>
      <c r="AX28" s="33"/>
      <c r="AY28" s="33"/>
      <c r="AZ28" s="33">
        <f>130000+37000</f>
        <v>167000</v>
      </c>
      <c r="BA28" s="33">
        <f>1500000</f>
        <v>1500000</v>
      </c>
      <c r="BB28" s="33">
        <v>450000</v>
      </c>
      <c r="BC28" s="33"/>
      <c r="BD28" s="43"/>
      <c r="BE28" s="33">
        <f>1437200+1500000</f>
        <v>2937200</v>
      </c>
      <c r="BF28" s="43">
        <f t="shared" si="0"/>
        <v>222843462.81999999</v>
      </c>
      <c r="BG28" s="33">
        <v>32100</v>
      </c>
      <c r="BH28" s="33"/>
      <c r="BI28" s="33"/>
      <c r="BJ28" s="33"/>
      <c r="BK28" s="33"/>
      <c r="BL28" s="33"/>
      <c r="BM28" s="33"/>
      <c r="BN28" s="33"/>
      <c r="BO28" s="33"/>
      <c r="BP28" s="33"/>
      <c r="BQ28" s="33"/>
      <c r="BR28" s="33"/>
      <c r="BS28" s="33"/>
      <c r="BT28" s="33"/>
      <c r="BU28" s="33"/>
      <c r="BV28" s="33">
        <f>50000+3000</f>
        <v>53000</v>
      </c>
      <c r="BW28" s="33"/>
      <c r="BX28" s="33"/>
      <c r="BY28" s="33"/>
      <c r="BZ28" s="33"/>
      <c r="CA28" s="33"/>
      <c r="CB28" s="33"/>
      <c r="CC28" s="33"/>
      <c r="CD28" s="33"/>
      <c r="CE28" s="43"/>
      <c r="CF28" s="43"/>
      <c r="CG28" s="43"/>
      <c r="CH28" s="43"/>
      <c r="CI28" s="43">
        <f t="shared" si="2"/>
        <v>85100</v>
      </c>
    </row>
    <row r="29" spans="1:87" ht="74.25" customHeight="1" x14ac:dyDescent="0.8">
      <c r="A29" s="14" t="s">
        <v>33</v>
      </c>
      <c r="B29" s="15" t="s">
        <v>116</v>
      </c>
      <c r="C29" s="34"/>
      <c r="D29" s="34"/>
      <c r="E29" s="34">
        <f>99858400-3634700</f>
        <v>96223700</v>
      </c>
      <c r="F29" s="34">
        <f>52320400-50000+1535100+560000-603138.2+39521500-729500-5000000-437900+18182700+840200</f>
        <v>106139361.8</v>
      </c>
      <c r="G29" s="34">
        <f>1466400-45000+64700+7200</f>
        <v>1493300</v>
      </c>
      <c r="H29" s="33">
        <f>2150536-230000-110000-418000</f>
        <v>1392536</v>
      </c>
      <c r="I29" s="33"/>
      <c r="J29" s="33"/>
      <c r="K29" s="33"/>
      <c r="L29" s="33"/>
      <c r="M29" s="43">
        <f t="shared" si="1"/>
        <v>139300</v>
      </c>
      <c r="N29" s="33"/>
      <c r="O29" s="33"/>
      <c r="P29" s="33"/>
      <c r="Q29" s="33"/>
      <c r="R29" s="33">
        <v>137600</v>
      </c>
      <c r="S29" s="33"/>
      <c r="T29" s="33">
        <v>1700</v>
      </c>
      <c r="U29" s="43">
        <f t="shared" si="3"/>
        <v>3895458</v>
      </c>
      <c r="V29" s="33"/>
      <c r="W29" s="33"/>
      <c r="X29" s="33">
        <v>3895458</v>
      </c>
      <c r="Y29" s="33"/>
      <c r="Z29" s="33"/>
      <c r="AA29" s="33"/>
      <c r="AB29" s="33"/>
      <c r="AC29" s="33"/>
      <c r="AD29" s="33"/>
      <c r="AE29" s="33">
        <f>53613</f>
        <v>53613</v>
      </c>
      <c r="AF29" s="33">
        <f>904064-105344+319196-286694</f>
        <v>831222</v>
      </c>
      <c r="AG29" s="33"/>
      <c r="AH29" s="33"/>
      <c r="AI29" s="33"/>
      <c r="AJ29" s="33"/>
      <c r="AK29" s="33"/>
      <c r="AL29" s="33"/>
      <c r="AM29" s="33"/>
      <c r="AN29" s="33"/>
      <c r="AO29" s="33"/>
      <c r="AP29" s="33"/>
      <c r="AQ29" s="33"/>
      <c r="AR29" s="33"/>
      <c r="AS29" s="33"/>
      <c r="AT29" s="33"/>
      <c r="AU29" s="33"/>
      <c r="AV29" s="33">
        <f>1530000+20000</f>
        <v>1550000</v>
      </c>
      <c r="AW29" s="33"/>
      <c r="AX29" s="33"/>
      <c r="AY29" s="33"/>
      <c r="AZ29" s="33">
        <f>200000-70000+16000</f>
        <v>146000</v>
      </c>
      <c r="BA29" s="33"/>
      <c r="BB29" s="33"/>
      <c r="BC29" s="33"/>
      <c r="BD29" s="43"/>
      <c r="BE29" s="33">
        <f>2500000+7500000</f>
        <v>10000000</v>
      </c>
      <c r="BF29" s="43">
        <f t="shared" si="0"/>
        <v>221864490.80000001</v>
      </c>
      <c r="BG29" s="33"/>
      <c r="BH29" s="33"/>
      <c r="BI29" s="33"/>
      <c r="BJ29" s="33"/>
      <c r="BK29" s="33">
        <f>7000000+11419000-1419000</f>
        <v>17000000</v>
      </c>
      <c r="BL29" s="33">
        <f>54000</f>
        <v>54000</v>
      </c>
      <c r="BM29" s="33"/>
      <c r="BN29" s="33"/>
      <c r="BO29" s="33"/>
      <c r="BP29" s="33"/>
      <c r="BQ29" s="33"/>
      <c r="BR29" s="33"/>
      <c r="BS29" s="33"/>
      <c r="BT29" s="33"/>
      <c r="BU29" s="33"/>
      <c r="BV29" s="33"/>
      <c r="BW29" s="33"/>
      <c r="BX29" s="33"/>
      <c r="BY29" s="33"/>
      <c r="BZ29" s="33"/>
      <c r="CA29" s="33"/>
      <c r="CB29" s="33"/>
      <c r="CC29" s="33"/>
      <c r="CD29" s="33"/>
      <c r="CE29" s="43"/>
      <c r="CF29" s="43"/>
      <c r="CG29" s="43"/>
      <c r="CH29" s="43"/>
      <c r="CI29" s="43">
        <f t="shared" si="2"/>
        <v>17054000</v>
      </c>
    </row>
    <row r="30" spans="1:87" ht="74.25" customHeight="1" x14ac:dyDescent="0.8">
      <c r="A30" s="14" t="s">
        <v>34</v>
      </c>
      <c r="B30" s="15" t="s">
        <v>69</v>
      </c>
      <c r="C30" s="34"/>
      <c r="D30" s="34"/>
      <c r="E30" s="34">
        <f>59589700-4776400</f>
        <v>54813300</v>
      </c>
      <c r="F30" s="34">
        <f>31507500+5160000+66600+1168500+150000-369420.61+21988900-418400+3501000+610300+146500+3278700+532900</f>
        <v>67323079.390000001</v>
      </c>
      <c r="G30" s="34">
        <f>1545300+212000-85100+130800</f>
        <v>1803000</v>
      </c>
      <c r="H30" s="33">
        <f>1278854-50000-105000</f>
        <v>1123854</v>
      </c>
      <c r="I30" s="33"/>
      <c r="J30" s="33"/>
      <c r="K30" s="33"/>
      <c r="L30" s="33"/>
      <c r="M30" s="43">
        <f t="shared" si="1"/>
        <v>0</v>
      </c>
      <c r="N30" s="33"/>
      <c r="O30" s="33"/>
      <c r="P30" s="33"/>
      <c r="Q30" s="33"/>
      <c r="R30" s="33"/>
      <c r="S30" s="33"/>
      <c r="T30" s="33"/>
      <c r="U30" s="43">
        <f t="shared" si="3"/>
        <v>0</v>
      </c>
      <c r="V30" s="33"/>
      <c r="W30" s="33"/>
      <c r="X30" s="33"/>
      <c r="Y30" s="33"/>
      <c r="Z30" s="33"/>
      <c r="AA30" s="33"/>
      <c r="AB30" s="33"/>
      <c r="AC30" s="33"/>
      <c r="AD30" s="33"/>
      <c r="AE30" s="33"/>
      <c r="AF30" s="33">
        <f>441358+176559-75000</f>
        <v>542917</v>
      </c>
      <c r="AG30" s="33">
        <f>1004389</f>
        <v>1004389</v>
      </c>
      <c r="AH30" s="33">
        <f>459200</f>
        <v>459200</v>
      </c>
      <c r="AI30" s="33"/>
      <c r="AJ30" s="33"/>
      <c r="AK30" s="33"/>
      <c r="AL30" s="33"/>
      <c r="AM30" s="33"/>
      <c r="AN30" s="33"/>
      <c r="AO30" s="33"/>
      <c r="AP30" s="33"/>
      <c r="AQ30" s="33"/>
      <c r="AR30" s="33"/>
      <c r="AS30" s="33"/>
      <c r="AT30" s="33"/>
      <c r="AU30" s="33"/>
      <c r="AV30" s="35">
        <f>1322000-75000</f>
        <v>1247000</v>
      </c>
      <c r="AW30" s="35"/>
      <c r="AX30" s="35"/>
      <c r="AY30" s="35"/>
      <c r="AZ30" s="35">
        <f>150000+190000</f>
        <v>340000</v>
      </c>
      <c r="BA30" s="35"/>
      <c r="BB30" s="35">
        <v>1000000</v>
      </c>
      <c r="BC30" s="35"/>
      <c r="BD30" s="47"/>
      <c r="BE30" s="35"/>
      <c r="BF30" s="43">
        <f t="shared" si="0"/>
        <v>129656739.39</v>
      </c>
      <c r="BG30" s="35"/>
      <c r="BH30" s="35"/>
      <c r="BI30" s="35"/>
      <c r="BJ30" s="35"/>
      <c r="BK30" s="35"/>
      <c r="BL30" s="35">
        <v>45000</v>
      </c>
      <c r="BM30" s="35"/>
      <c r="BN30" s="35"/>
      <c r="BO30" s="35"/>
      <c r="BP30" s="35"/>
      <c r="BQ30" s="35"/>
      <c r="BR30" s="35"/>
      <c r="BS30" s="35"/>
      <c r="BT30" s="35"/>
      <c r="BU30" s="35"/>
      <c r="BV30" s="35"/>
      <c r="BW30" s="35"/>
      <c r="BX30" s="35"/>
      <c r="BY30" s="35"/>
      <c r="BZ30" s="35"/>
      <c r="CA30" s="35"/>
      <c r="CB30" s="35"/>
      <c r="CC30" s="35"/>
      <c r="CD30" s="35"/>
      <c r="CE30" s="47"/>
      <c r="CF30" s="47"/>
      <c r="CG30" s="47"/>
      <c r="CH30" s="47"/>
      <c r="CI30" s="43">
        <f t="shared" si="2"/>
        <v>45000</v>
      </c>
    </row>
    <row r="31" spans="1:87" ht="74.25" customHeight="1" x14ac:dyDescent="0.8">
      <c r="A31" s="14" t="s">
        <v>35</v>
      </c>
      <c r="B31" s="15" t="s">
        <v>70</v>
      </c>
      <c r="C31" s="34"/>
      <c r="D31" s="34"/>
      <c r="E31" s="34">
        <f>60296200-2184700</f>
        <v>58111500</v>
      </c>
      <c r="F31" s="34">
        <f>47207500-150000-43300+650000-652767.63+29555100-528800+60000+2375000+6812800+680600</f>
        <v>85966132.370000005</v>
      </c>
      <c r="G31" s="34">
        <f>1517300+15000+124700+122200</f>
        <v>1779200</v>
      </c>
      <c r="H31" s="33">
        <f>2877281-110000-65000</f>
        <v>2702281</v>
      </c>
      <c r="I31" s="33"/>
      <c r="J31" s="33"/>
      <c r="K31" s="33">
        <v>500000</v>
      </c>
      <c r="L31" s="33"/>
      <c r="M31" s="43">
        <f t="shared" si="1"/>
        <v>0</v>
      </c>
      <c r="N31" s="33"/>
      <c r="O31" s="33"/>
      <c r="P31" s="33"/>
      <c r="Q31" s="33"/>
      <c r="R31" s="33"/>
      <c r="S31" s="33"/>
      <c r="T31" s="33"/>
      <c r="U31" s="43">
        <f>V31+W31+X31+Y31+Z31+AD31+AA31+AC31+AB31</f>
        <v>5796287</v>
      </c>
      <c r="V31" s="33"/>
      <c r="W31" s="33"/>
      <c r="X31" s="33"/>
      <c r="Y31" s="33">
        <f>769228-369228-25000-375000</f>
        <v>0</v>
      </c>
      <c r="Z31" s="33">
        <f>6500080-703793</f>
        <v>5796287</v>
      </c>
      <c r="AA31" s="33"/>
      <c r="AB31" s="33"/>
      <c r="AC31" s="33"/>
      <c r="AD31" s="33"/>
      <c r="AE31" s="33">
        <f>107227</f>
        <v>107227</v>
      </c>
      <c r="AF31" s="33">
        <f>395364+158160-189941</f>
        <v>363583</v>
      </c>
      <c r="AG31" s="33">
        <f>584562+1084080</f>
        <v>1668642</v>
      </c>
      <c r="AH31" s="33">
        <f>350000+23400</f>
        <v>373400</v>
      </c>
      <c r="AI31" s="33">
        <v>1470000</v>
      </c>
      <c r="AJ31" s="33"/>
      <c r="AK31" s="33"/>
      <c r="AL31" s="33"/>
      <c r="AM31" s="33"/>
      <c r="AN31" s="33"/>
      <c r="AO31" s="33"/>
      <c r="AP31" s="33"/>
      <c r="AQ31" s="33"/>
      <c r="AR31" s="33"/>
      <c r="AS31" s="33"/>
      <c r="AT31" s="33"/>
      <c r="AU31" s="33"/>
      <c r="AV31" s="35">
        <f>520000-158000</f>
        <v>362000</v>
      </c>
      <c r="AW31" s="35"/>
      <c r="AX31" s="35"/>
      <c r="AY31" s="35"/>
      <c r="AZ31" s="35">
        <f>74000+100000</f>
        <v>174000</v>
      </c>
      <c r="BA31" s="35"/>
      <c r="BB31" s="35"/>
      <c r="BC31" s="35"/>
      <c r="BD31" s="47"/>
      <c r="BE31" s="35"/>
      <c r="BF31" s="43">
        <f t="shared" si="0"/>
        <v>159374252.37</v>
      </c>
      <c r="BG31" s="35"/>
      <c r="BH31" s="35"/>
      <c r="BI31" s="35"/>
      <c r="BJ31" s="35"/>
      <c r="BK31" s="35"/>
      <c r="BL31" s="35">
        <v>35000</v>
      </c>
      <c r="BM31" s="35"/>
      <c r="BN31" s="35"/>
      <c r="BO31" s="35"/>
      <c r="BP31" s="35"/>
      <c r="BQ31" s="35"/>
      <c r="BR31" s="35"/>
      <c r="BS31" s="35"/>
      <c r="BT31" s="35"/>
      <c r="BU31" s="35"/>
      <c r="BV31" s="35"/>
      <c r="BW31" s="35"/>
      <c r="BX31" s="35"/>
      <c r="BY31" s="35"/>
      <c r="BZ31" s="35"/>
      <c r="CA31" s="35"/>
      <c r="CB31" s="35"/>
      <c r="CC31" s="35"/>
      <c r="CD31" s="35"/>
      <c r="CE31" s="47"/>
      <c r="CF31" s="47"/>
      <c r="CG31" s="47"/>
      <c r="CH31" s="47"/>
      <c r="CI31" s="43">
        <f t="shared" si="2"/>
        <v>35000</v>
      </c>
    </row>
    <row r="32" spans="1:87" ht="74.25" customHeight="1" x14ac:dyDescent="0.8">
      <c r="A32" s="14" t="s">
        <v>36</v>
      </c>
      <c r="B32" s="15" t="s">
        <v>71</v>
      </c>
      <c r="C32" s="34"/>
      <c r="D32" s="34"/>
      <c r="E32" s="34">
        <f>52268000-988200</f>
        <v>51279800</v>
      </c>
      <c r="F32" s="34">
        <f>48078700-6800000+220400+560000-496342.07+26163500-462600+923000+5623300+588900</f>
        <v>74398857.930000007</v>
      </c>
      <c r="G32" s="34">
        <f>773900-79000+134400+121100</f>
        <v>950400</v>
      </c>
      <c r="H32" s="33">
        <f>1845812-70000-87000</f>
        <v>1688812</v>
      </c>
      <c r="I32" s="33"/>
      <c r="J32" s="33"/>
      <c r="K32" s="33"/>
      <c r="L32" s="33"/>
      <c r="M32" s="43">
        <f t="shared" si="1"/>
        <v>0</v>
      </c>
      <c r="N32" s="33"/>
      <c r="O32" s="33"/>
      <c r="P32" s="33"/>
      <c r="Q32" s="33"/>
      <c r="R32" s="33"/>
      <c r="S32" s="33"/>
      <c r="T32" s="33"/>
      <c r="U32" s="43">
        <f t="shared" si="3"/>
        <v>0</v>
      </c>
      <c r="V32" s="33"/>
      <c r="W32" s="33"/>
      <c r="X32" s="33"/>
      <c r="Y32" s="33"/>
      <c r="Z32" s="33"/>
      <c r="AA32" s="33"/>
      <c r="AB32" s="33"/>
      <c r="AC32" s="33"/>
      <c r="AD32" s="33"/>
      <c r="AE32" s="33"/>
      <c r="AF32" s="33">
        <f>307436+122986</f>
        <v>430422</v>
      </c>
      <c r="AG32" s="33"/>
      <c r="AH32" s="33"/>
      <c r="AI32" s="33"/>
      <c r="AJ32" s="33"/>
      <c r="AK32" s="33"/>
      <c r="AL32" s="33"/>
      <c r="AM32" s="33"/>
      <c r="AN32" s="33"/>
      <c r="AO32" s="33"/>
      <c r="AP32" s="33"/>
      <c r="AQ32" s="33"/>
      <c r="AR32" s="33"/>
      <c r="AS32" s="33"/>
      <c r="AT32" s="33"/>
      <c r="AU32" s="33"/>
      <c r="AV32" s="35">
        <f>515000-15000</f>
        <v>500000</v>
      </c>
      <c r="AW32" s="35"/>
      <c r="AX32" s="35"/>
      <c r="AY32" s="35"/>
      <c r="AZ32" s="35">
        <f>39000+107000</f>
        <v>146000</v>
      </c>
      <c r="BA32" s="35"/>
      <c r="BB32" s="35"/>
      <c r="BC32" s="35"/>
      <c r="BD32" s="47"/>
      <c r="BE32" s="35"/>
      <c r="BF32" s="43">
        <f t="shared" si="0"/>
        <v>129394291.93000001</v>
      </c>
      <c r="BG32" s="35"/>
      <c r="BH32" s="35"/>
      <c r="BI32" s="35"/>
      <c r="BJ32" s="35">
        <f>232676+29250</f>
        <v>261926</v>
      </c>
      <c r="BK32" s="35">
        <v>1000000</v>
      </c>
      <c r="BL32" s="35">
        <v>34000</v>
      </c>
      <c r="BM32" s="35"/>
      <c r="BN32" s="35"/>
      <c r="BO32" s="35"/>
      <c r="BP32" s="35"/>
      <c r="BQ32" s="35"/>
      <c r="BR32" s="35"/>
      <c r="BS32" s="35"/>
      <c r="BT32" s="35"/>
      <c r="BU32" s="35"/>
      <c r="BV32" s="35"/>
      <c r="BW32" s="35"/>
      <c r="BX32" s="35"/>
      <c r="BY32" s="35"/>
      <c r="BZ32" s="35"/>
      <c r="CA32" s="35"/>
      <c r="CB32" s="35"/>
      <c r="CC32" s="35"/>
      <c r="CD32" s="35">
        <f>1000000</f>
        <v>1000000</v>
      </c>
      <c r="CE32" s="47"/>
      <c r="CF32" s="47"/>
      <c r="CG32" s="47"/>
      <c r="CH32" s="47"/>
      <c r="CI32" s="43">
        <f t="shared" si="2"/>
        <v>2295926</v>
      </c>
    </row>
    <row r="33" spans="1:87" ht="74.25" customHeight="1" x14ac:dyDescent="0.8">
      <c r="A33" s="14" t="s">
        <v>37</v>
      </c>
      <c r="B33" s="15" t="s">
        <v>72</v>
      </c>
      <c r="C33" s="34"/>
      <c r="D33" s="34">
        <v>350000</v>
      </c>
      <c r="E33" s="34">
        <f>40545800-3554100</f>
        <v>36991700</v>
      </c>
      <c r="F33" s="34">
        <f>22718800+220000-4130500-13683100-863700-190000-38301.85+29177700-469700-494600+8097100+321900</f>
        <v>40665598.149999999</v>
      </c>
      <c r="G33" s="34">
        <f>4937900-638000-4200+146400</f>
        <v>4442100</v>
      </c>
      <c r="H33" s="33">
        <f>803909-50000-155000</f>
        <v>598909</v>
      </c>
      <c r="I33" s="33"/>
      <c r="J33" s="33"/>
      <c r="K33" s="33"/>
      <c r="L33" s="33"/>
      <c r="M33" s="43">
        <f t="shared" si="1"/>
        <v>365500</v>
      </c>
      <c r="N33" s="33"/>
      <c r="O33" s="33"/>
      <c r="P33" s="33"/>
      <c r="Q33" s="33"/>
      <c r="R33" s="33">
        <v>363700</v>
      </c>
      <c r="S33" s="33"/>
      <c r="T33" s="33">
        <v>1800</v>
      </c>
      <c r="U33" s="43">
        <f t="shared" si="3"/>
        <v>5793790</v>
      </c>
      <c r="V33" s="33"/>
      <c r="W33" s="33"/>
      <c r="X33" s="33"/>
      <c r="Y33" s="33"/>
      <c r="Z33" s="33">
        <f>6500080-706290</f>
        <v>5793790</v>
      </c>
      <c r="AA33" s="33"/>
      <c r="AB33" s="33"/>
      <c r="AC33" s="33"/>
      <c r="AD33" s="33"/>
      <c r="AE33" s="33"/>
      <c r="AF33" s="33">
        <f>206819+82735</f>
        <v>289554</v>
      </c>
      <c r="AG33" s="33">
        <v>456935</v>
      </c>
      <c r="AH33" s="33">
        <f>950000+723400</f>
        <v>1673400</v>
      </c>
      <c r="AI33" s="33"/>
      <c r="AJ33" s="33"/>
      <c r="AK33" s="33"/>
      <c r="AL33" s="33"/>
      <c r="AM33" s="33"/>
      <c r="AN33" s="33"/>
      <c r="AO33" s="33"/>
      <c r="AP33" s="33"/>
      <c r="AQ33" s="33"/>
      <c r="AR33" s="33"/>
      <c r="AS33" s="33"/>
      <c r="AT33" s="33"/>
      <c r="AU33" s="33"/>
      <c r="AV33" s="35">
        <f>615000-50000-5000</f>
        <v>560000</v>
      </c>
      <c r="AW33" s="35"/>
      <c r="AX33" s="35"/>
      <c r="AY33" s="35"/>
      <c r="AZ33" s="35">
        <f>70000+190000</f>
        <v>260000</v>
      </c>
      <c r="BA33" s="35"/>
      <c r="BB33" s="35">
        <f>570000-570000</f>
        <v>0</v>
      </c>
      <c r="BC33" s="35"/>
      <c r="BD33" s="47"/>
      <c r="BE33" s="35"/>
      <c r="BF33" s="43">
        <f t="shared" si="0"/>
        <v>92447486.150000006</v>
      </c>
      <c r="BG33" s="35"/>
      <c r="BH33" s="35"/>
      <c r="BI33" s="35"/>
      <c r="BJ33" s="35"/>
      <c r="BK33" s="35"/>
      <c r="BL33" s="35">
        <v>24000</v>
      </c>
      <c r="BM33" s="35"/>
      <c r="BN33" s="35"/>
      <c r="BO33" s="35"/>
      <c r="BP33" s="35"/>
      <c r="BQ33" s="35"/>
      <c r="BR33" s="35"/>
      <c r="BS33" s="35"/>
      <c r="BT33" s="35"/>
      <c r="BU33" s="35"/>
      <c r="BV33" s="35"/>
      <c r="BW33" s="35"/>
      <c r="BX33" s="35"/>
      <c r="BY33" s="35"/>
      <c r="BZ33" s="35"/>
      <c r="CA33" s="35"/>
      <c r="CB33" s="35"/>
      <c r="CC33" s="35"/>
      <c r="CD33" s="35"/>
      <c r="CE33" s="47"/>
      <c r="CF33" s="47"/>
      <c r="CG33" s="47"/>
      <c r="CH33" s="47"/>
      <c r="CI33" s="43">
        <f t="shared" si="2"/>
        <v>24000</v>
      </c>
    </row>
    <row r="34" spans="1:87" ht="74.25" customHeight="1" x14ac:dyDescent="0.8">
      <c r="A34" s="14" t="s">
        <v>38</v>
      </c>
      <c r="B34" s="15" t="s">
        <v>73</v>
      </c>
      <c r="C34" s="34"/>
      <c r="D34" s="34"/>
      <c r="E34" s="34">
        <f>59212900-4921300</f>
        <v>54291600</v>
      </c>
      <c r="F34" s="34">
        <f>58811400-11700000-10000000-1916100-30000-327972.34+41217000-694300+3550000+1150100+5900200+685900</f>
        <v>86646227.659999996</v>
      </c>
      <c r="G34" s="34">
        <f>848600-153000-31500+67500</f>
        <v>731600</v>
      </c>
      <c r="H34" s="33">
        <f>2170805-200000-140000-230000</f>
        <v>1600805</v>
      </c>
      <c r="I34" s="33"/>
      <c r="J34" s="33"/>
      <c r="K34" s="33"/>
      <c r="L34" s="33"/>
      <c r="M34" s="43">
        <f t="shared" si="1"/>
        <v>557200</v>
      </c>
      <c r="N34" s="33"/>
      <c r="O34" s="33"/>
      <c r="P34" s="33"/>
      <c r="Q34" s="33"/>
      <c r="R34" s="33">
        <v>555400</v>
      </c>
      <c r="S34" s="33"/>
      <c r="T34" s="33">
        <v>1800</v>
      </c>
      <c r="U34" s="43">
        <f t="shared" si="3"/>
        <v>1125000</v>
      </c>
      <c r="V34" s="33"/>
      <c r="W34" s="33"/>
      <c r="X34" s="33"/>
      <c r="Y34" s="33">
        <f>1538456-338456-75000</f>
        <v>1125000</v>
      </c>
      <c r="Z34" s="33"/>
      <c r="AA34" s="33"/>
      <c r="AB34" s="33"/>
      <c r="AC34" s="33"/>
      <c r="AD34" s="33"/>
      <c r="AE34" s="33">
        <f>328944+1175864</f>
        <v>1504808</v>
      </c>
      <c r="AF34" s="33">
        <f>460478+184208</f>
        <v>644686</v>
      </c>
      <c r="AG34" s="33"/>
      <c r="AH34" s="33">
        <f>681200</f>
        <v>681200</v>
      </c>
      <c r="AI34" s="33"/>
      <c r="AJ34" s="33"/>
      <c r="AK34" s="33"/>
      <c r="AL34" s="33"/>
      <c r="AM34" s="33"/>
      <c r="AN34" s="33"/>
      <c r="AO34" s="33"/>
      <c r="AP34" s="33"/>
      <c r="AQ34" s="33"/>
      <c r="AR34" s="33"/>
      <c r="AS34" s="33"/>
      <c r="AT34" s="33"/>
      <c r="AU34" s="33"/>
      <c r="AV34" s="35">
        <f>970000-38000-13866</f>
        <v>918134</v>
      </c>
      <c r="AW34" s="35">
        <v>80000</v>
      </c>
      <c r="AX34" s="35"/>
      <c r="AY34" s="35">
        <v>5200</v>
      </c>
      <c r="AZ34" s="35">
        <f>130000+69000+30000</f>
        <v>229000</v>
      </c>
      <c r="BA34" s="35"/>
      <c r="BB34" s="35">
        <v>500000</v>
      </c>
      <c r="BC34" s="35"/>
      <c r="BD34" s="47"/>
      <c r="BE34" s="35"/>
      <c r="BF34" s="43">
        <f t="shared" si="0"/>
        <v>149515460.66</v>
      </c>
      <c r="BG34" s="35"/>
      <c r="BH34" s="35"/>
      <c r="BI34" s="35"/>
      <c r="BJ34" s="35"/>
      <c r="BK34" s="35"/>
      <c r="BL34" s="35">
        <v>41000</v>
      </c>
      <c r="BM34" s="35"/>
      <c r="BN34" s="35"/>
      <c r="BO34" s="35"/>
      <c r="BP34" s="35"/>
      <c r="BQ34" s="35"/>
      <c r="BR34" s="35"/>
      <c r="BS34" s="35"/>
      <c r="BT34" s="35"/>
      <c r="BU34" s="35"/>
      <c r="BV34" s="35"/>
      <c r="BW34" s="35"/>
      <c r="BX34" s="35"/>
      <c r="BY34" s="35"/>
      <c r="BZ34" s="35"/>
      <c r="CA34" s="35"/>
      <c r="CB34" s="35"/>
      <c r="CC34" s="35"/>
      <c r="CD34" s="35"/>
      <c r="CE34" s="47"/>
      <c r="CF34" s="47"/>
      <c r="CG34" s="47"/>
      <c r="CH34" s="47"/>
      <c r="CI34" s="43">
        <f t="shared" si="2"/>
        <v>41000</v>
      </c>
    </row>
    <row r="35" spans="1:87" ht="74.25" customHeight="1" x14ac:dyDescent="0.8">
      <c r="A35" s="14" t="s">
        <v>39</v>
      </c>
      <c r="B35" s="15" t="s">
        <v>74</v>
      </c>
      <c r="C35" s="34"/>
      <c r="D35" s="34">
        <v>200000</v>
      </c>
      <c r="E35" s="34">
        <f>89209100-3504000</f>
        <v>85705100</v>
      </c>
      <c r="F35" s="34">
        <f>72096300-8900000-10000000-4568500+35000-97801.81+52529500-985800+4326000+933800+12121200+937500</f>
        <v>118427198.19</v>
      </c>
      <c r="G35" s="34">
        <f>979200+276000-31200+110200</f>
        <v>1334200</v>
      </c>
      <c r="H35" s="33">
        <f>2594555-100000-200000-125000</f>
        <v>2169555</v>
      </c>
      <c r="I35" s="33"/>
      <c r="J35" s="33"/>
      <c r="K35" s="33">
        <v>500000</v>
      </c>
      <c r="L35" s="33">
        <f>398930.69-398930.69</f>
        <v>0</v>
      </c>
      <c r="M35" s="43">
        <f t="shared" si="1"/>
        <v>111600</v>
      </c>
      <c r="N35" s="33">
        <v>109900</v>
      </c>
      <c r="O35" s="33">
        <v>1700</v>
      </c>
      <c r="P35" s="33"/>
      <c r="Q35" s="33"/>
      <c r="R35" s="33"/>
      <c r="S35" s="33"/>
      <c r="T35" s="33"/>
      <c r="U35" s="43">
        <f t="shared" si="3"/>
        <v>375000</v>
      </c>
      <c r="V35" s="33"/>
      <c r="W35" s="33"/>
      <c r="X35" s="33"/>
      <c r="Y35" s="33">
        <f>192307+207693-25000</f>
        <v>375000</v>
      </c>
      <c r="Z35" s="33"/>
      <c r="AA35" s="33"/>
      <c r="AB35" s="33"/>
      <c r="AC35" s="33"/>
      <c r="AD35" s="33"/>
      <c r="AE35" s="33">
        <f>23496+95479</f>
        <v>118975</v>
      </c>
      <c r="AF35" s="33">
        <f>936212+374518</f>
        <v>1310730</v>
      </c>
      <c r="AG35" s="33">
        <v>491730</v>
      </c>
      <c r="AH35" s="33"/>
      <c r="AI35" s="33"/>
      <c r="AJ35" s="33">
        <v>398930.69</v>
      </c>
      <c r="AK35" s="33"/>
      <c r="AL35" s="33"/>
      <c r="AM35" s="33"/>
      <c r="AN35" s="33"/>
      <c r="AO35" s="33"/>
      <c r="AP35" s="33"/>
      <c r="AQ35" s="33"/>
      <c r="AR35" s="33"/>
      <c r="AS35" s="33"/>
      <c r="AT35" s="33"/>
      <c r="AU35" s="33"/>
      <c r="AV35" s="35">
        <f>2012000+20000</f>
        <v>2032000</v>
      </c>
      <c r="AW35" s="35"/>
      <c r="AX35" s="35"/>
      <c r="AY35" s="35">
        <v>5200</v>
      </c>
      <c r="AZ35" s="35">
        <f>78000+199000</f>
        <v>277000</v>
      </c>
      <c r="BA35" s="35"/>
      <c r="BB35" s="35"/>
      <c r="BC35" s="35">
        <v>600000</v>
      </c>
      <c r="BD35" s="47"/>
      <c r="BE35" s="35"/>
      <c r="BF35" s="43">
        <f t="shared" si="0"/>
        <v>214057218.88</v>
      </c>
      <c r="BG35" s="35"/>
      <c r="BH35" s="35"/>
      <c r="BI35" s="35"/>
      <c r="BJ35" s="35"/>
      <c r="BK35" s="35">
        <f>7000000+9500000</f>
        <v>16500000</v>
      </c>
      <c r="BL35" s="35"/>
      <c r="BM35" s="35"/>
      <c r="BN35" s="35"/>
      <c r="BO35" s="35"/>
      <c r="BP35" s="35"/>
      <c r="BQ35" s="35"/>
      <c r="BR35" s="35"/>
      <c r="BS35" s="35"/>
      <c r="BT35" s="35"/>
      <c r="BU35" s="35"/>
      <c r="BV35" s="35"/>
      <c r="BW35" s="35"/>
      <c r="BX35" s="35"/>
      <c r="BY35" s="35"/>
      <c r="BZ35" s="35"/>
      <c r="CA35" s="35"/>
      <c r="CB35" s="35"/>
      <c r="CC35" s="35"/>
      <c r="CD35" s="35"/>
      <c r="CE35" s="47"/>
      <c r="CF35" s="47">
        <v>10000000</v>
      </c>
      <c r="CG35" s="47">
        <v>10000000</v>
      </c>
      <c r="CH35" s="47">
        <f>500000</f>
        <v>500000</v>
      </c>
      <c r="CI35" s="43">
        <f t="shared" si="2"/>
        <v>27000000</v>
      </c>
    </row>
    <row r="36" spans="1:87" ht="74.25" customHeight="1" x14ac:dyDescent="0.8">
      <c r="A36" s="14" t="s">
        <v>40</v>
      </c>
      <c r="B36" s="15" t="s">
        <v>75</v>
      </c>
      <c r="C36" s="34"/>
      <c r="D36" s="34">
        <v>520000</v>
      </c>
      <c r="E36" s="34">
        <f>37022200-3205900</f>
        <v>33816300</v>
      </c>
      <c r="F36" s="34">
        <f>32244500-9620000-5575700-120000-231548.26+21388400-338900+2300+5230000+342900</f>
        <v>43321951.740000002</v>
      </c>
      <c r="G36" s="34">
        <f>2299000-390000-28600+168000</f>
        <v>2048400</v>
      </c>
      <c r="H36" s="33">
        <f>741127-30000-90000</f>
        <v>621127</v>
      </c>
      <c r="I36" s="33"/>
      <c r="J36" s="33"/>
      <c r="K36" s="33"/>
      <c r="L36" s="33"/>
      <c r="M36" s="43">
        <f t="shared" si="1"/>
        <v>355700</v>
      </c>
      <c r="N36" s="33"/>
      <c r="O36" s="33"/>
      <c r="P36" s="33"/>
      <c r="Q36" s="33"/>
      <c r="R36" s="33">
        <v>355100</v>
      </c>
      <c r="S36" s="33"/>
      <c r="T36" s="33">
        <v>600</v>
      </c>
      <c r="U36" s="43">
        <f t="shared" si="3"/>
        <v>0</v>
      </c>
      <c r="V36" s="33"/>
      <c r="W36" s="33"/>
      <c r="X36" s="33"/>
      <c r="Y36" s="33">
        <f>192307-192307</f>
        <v>0</v>
      </c>
      <c r="Z36" s="33"/>
      <c r="AA36" s="33"/>
      <c r="AB36" s="33"/>
      <c r="AC36" s="33"/>
      <c r="AD36" s="33"/>
      <c r="AE36" s="33">
        <f>23496+149092</f>
        <v>172588</v>
      </c>
      <c r="AF36" s="33">
        <f>370661+148278+50000</f>
        <v>568939</v>
      </c>
      <c r="AG36" s="33"/>
      <c r="AH36" s="33"/>
      <c r="AI36" s="33"/>
      <c r="AJ36" s="33"/>
      <c r="AK36" s="33"/>
      <c r="AL36" s="33"/>
      <c r="AM36" s="33"/>
      <c r="AN36" s="33"/>
      <c r="AO36" s="33"/>
      <c r="AP36" s="33"/>
      <c r="AQ36" s="33"/>
      <c r="AR36" s="33"/>
      <c r="AS36" s="33"/>
      <c r="AT36" s="33"/>
      <c r="AU36" s="33"/>
      <c r="AV36" s="35">
        <f>535000+25000</f>
        <v>560000</v>
      </c>
      <c r="AW36" s="35"/>
      <c r="AX36" s="35"/>
      <c r="AY36" s="35"/>
      <c r="AZ36" s="35">
        <f>100000+180000</f>
        <v>280000</v>
      </c>
      <c r="BA36" s="35">
        <f>800000</f>
        <v>800000</v>
      </c>
      <c r="BB36" s="35">
        <f>94102.8+500000</f>
        <v>594102.80000000005</v>
      </c>
      <c r="BC36" s="35"/>
      <c r="BD36" s="47"/>
      <c r="BE36" s="35"/>
      <c r="BF36" s="43">
        <f t="shared" si="0"/>
        <v>83659108.540000007</v>
      </c>
      <c r="BG36" s="35"/>
      <c r="BH36" s="35"/>
      <c r="BI36" s="35"/>
      <c r="BJ36" s="35"/>
      <c r="BK36" s="35"/>
      <c r="BL36" s="35">
        <v>13000</v>
      </c>
      <c r="BM36" s="35"/>
      <c r="BN36" s="35"/>
      <c r="BO36" s="35"/>
      <c r="BP36" s="35"/>
      <c r="BQ36" s="35"/>
      <c r="BR36" s="35"/>
      <c r="BS36" s="35"/>
      <c r="BT36" s="35"/>
      <c r="BU36" s="35"/>
      <c r="BV36" s="35"/>
      <c r="BW36" s="35"/>
      <c r="BX36" s="35"/>
      <c r="BY36" s="35"/>
      <c r="BZ36" s="35"/>
      <c r="CA36" s="35"/>
      <c r="CB36" s="35"/>
      <c r="CC36" s="35"/>
      <c r="CD36" s="35"/>
      <c r="CE36" s="47"/>
      <c r="CF36" s="47"/>
      <c r="CG36" s="47"/>
      <c r="CH36" s="47"/>
      <c r="CI36" s="43">
        <f t="shared" si="2"/>
        <v>13000</v>
      </c>
    </row>
    <row r="37" spans="1:87" ht="74.25" customHeight="1" x14ac:dyDescent="0.8">
      <c r="A37" s="14" t="s">
        <v>41</v>
      </c>
      <c r="B37" s="15" t="s">
        <v>76</v>
      </c>
      <c r="C37" s="34"/>
      <c r="D37" s="34"/>
      <c r="E37" s="34">
        <f>32547700-956400</f>
        <v>31591300</v>
      </c>
      <c r="F37" s="34">
        <f>29502800-2240000-6755400-170000-263198.92+21973500-385600+2396000+133900+3212800+378300</f>
        <v>47783101.079999998</v>
      </c>
      <c r="G37" s="34">
        <f>1085200+194000-167500+256000</f>
        <v>1367700</v>
      </c>
      <c r="H37" s="33">
        <f>1408971-30000+120000-35000</f>
        <v>1463971</v>
      </c>
      <c r="I37" s="33"/>
      <c r="J37" s="33"/>
      <c r="K37" s="33">
        <v>1000000</v>
      </c>
      <c r="L37" s="33"/>
      <c r="M37" s="43">
        <f t="shared" si="1"/>
        <v>198600</v>
      </c>
      <c r="N37" s="33"/>
      <c r="O37" s="33"/>
      <c r="P37" s="33"/>
      <c r="Q37" s="33"/>
      <c r="R37" s="33">
        <v>198200</v>
      </c>
      <c r="S37" s="33"/>
      <c r="T37" s="33">
        <v>400</v>
      </c>
      <c r="U37" s="43">
        <f t="shared" si="3"/>
        <v>6500080</v>
      </c>
      <c r="V37" s="33"/>
      <c r="W37" s="33"/>
      <c r="X37" s="33"/>
      <c r="Y37" s="33">
        <f>384614-384614</f>
        <v>0</v>
      </c>
      <c r="Z37" s="33">
        <v>6500080</v>
      </c>
      <c r="AA37" s="33"/>
      <c r="AB37" s="33"/>
      <c r="AC37" s="33"/>
      <c r="AD37" s="33"/>
      <c r="AE37" s="33">
        <f>321681</f>
        <v>321681</v>
      </c>
      <c r="AF37" s="33">
        <f>280167+112077+50000</f>
        <v>442244</v>
      </c>
      <c r="AG37" s="33"/>
      <c r="AH37" s="33">
        <f>300000</f>
        <v>300000</v>
      </c>
      <c r="AI37" s="33"/>
      <c r="AJ37" s="33"/>
      <c r="AK37" s="33"/>
      <c r="AL37" s="33"/>
      <c r="AM37" s="33"/>
      <c r="AN37" s="33"/>
      <c r="AO37" s="33"/>
      <c r="AP37" s="33"/>
      <c r="AQ37" s="33"/>
      <c r="AR37" s="33"/>
      <c r="AS37" s="33"/>
      <c r="AT37" s="33"/>
      <c r="AU37" s="33"/>
      <c r="AV37" s="35">
        <f>480000+20000</f>
        <v>500000</v>
      </c>
      <c r="AW37" s="35">
        <v>60000</v>
      </c>
      <c r="AX37" s="35"/>
      <c r="AY37" s="35"/>
      <c r="AZ37" s="35">
        <f>80000+90000-16000</f>
        <v>154000</v>
      </c>
      <c r="BA37" s="35"/>
      <c r="BB37" s="35">
        <f>500000+270000</f>
        <v>770000</v>
      </c>
      <c r="BC37" s="35"/>
      <c r="BD37" s="47"/>
      <c r="BE37" s="35"/>
      <c r="BF37" s="43">
        <f t="shared" si="0"/>
        <v>92452677.079999998</v>
      </c>
      <c r="BG37" s="35"/>
      <c r="BH37" s="35"/>
      <c r="BI37" s="35"/>
      <c r="BJ37" s="35"/>
      <c r="BK37" s="35"/>
      <c r="BL37" s="35">
        <f>26000</f>
        <v>26000</v>
      </c>
      <c r="BM37" s="35"/>
      <c r="BN37" s="35"/>
      <c r="BO37" s="35"/>
      <c r="BP37" s="35"/>
      <c r="BQ37" s="35"/>
      <c r="BR37" s="35"/>
      <c r="BS37" s="35"/>
      <c r="BT37" s="35"/>
      <c r="BU37" s="35"/>
      <c r="BV37" s="35"/>
      <c r="BW37" s="35"/>
      <c r="BX37" s="35"/>
      <c r="BY37" s="35"/>
      <c r="BZ37" s="35"/>
      <c r="CA37" s="35"/>
      <c r="CB37" s="35"/>
      <c r="CC37" s="35"/>
      <c r="CD37" s="35">
        <v>3000000</v>
      </c>
      <c r="CE37" s="47"/>
      <c r="CF37" s="47"/>
      <c r="CG37" s="47"/>
      <c r="CH37" s="47"/>
      <c r="CI37" s="43">
        <f t="shared" si="2"/>
        <v>3026000</v>
      </c>
    </row>
    <row r="38" spans="1:87" ht="74.25" customHeight="1" x14ac:dyDescent="0.8">
      <c r="A38" s="14" t="s">
        <v>42</v>
      </c>
      <c r="B38" s="15" t="s">
        <v>77</v>
      </c>
      <c r="C38" s="34"/>
      <c r="D38" s="34"/>
      <c r="E38" s="34">
        <f>36317600-2769500</f>
        <v>33548100</v>
      </c>
      <c r="F38" s="34">
        <f>21033500-2450000-3898900-130000-153358.64+14960900-247300+1304000+213400+2970900+268100</f>
        <v>33871241.359999999</v>
      </c>
      <c r="G38" s="34">
        <f>3188200+384500-128900-48900</f>
        <v>3394900</v>
      </c>
      <c r="H38" s="33">
        <f>1403589-50000+170000-12000</f>
        <v>1511589</v>
      </c>
      <c r="I38" s="33"/>
      <c r="J38" s="33"/>
      <c r="K38" s="33"/>
      <c r="L38" s="33"/>
      <c r="M38" s="43">
        <f t="shared" si="1"/>
        <v>396800</v>
      </c>
      <c r="N38" s="33"/>
      <c r="O38" s="33"/>
      <c r="P38" s="33"/>
      <c r="Q38" s="33"/>
      <c r="R38" s="33">
        <f>220200+134700</f>
        <v>354900</v>
      </c>
      <c r="S38" s="33">
        <v>40300</v>
      </c>
      <c r="T38" s="33">
        <f>1400+200</f>
        <v>1600</v>
      </c>
      <c r="U38" s="43">
        <f t="shared" si="3"/>
        <v>375000</v>
      </c>
      <c r="V38" s="33"/>
      <c r="W38" s="33"/>
      <c r="X38" s="33"/>
      <c r="Y38" s="33">
        <f>384614+15386-25000</f>
        <v>375000</v>
      </c>
      <c r="Z38" s="33"/>
      <c r="AA38" s="33"/>
      <c r="AB38" s="33"/>
      <c r="AC38" s="33"/>
      <c r="AD38" s="33"/>
      <c r="AE38" s="33">
        <f>70488+286437</f>
        <v>356925</v>
      </c>
      <c r="AF38" s="33">
        <f>269536+107824</f>
        <v>377360</v>
      </c>
      <c r="AG38" s="33">
        <f>629077</f>
        <v>629077</v>
      </c>
      <c r="AH38" s="33">
        <f>81500</f>
        <v>81500</v>
      </c>
      <c r="AI38" s="33"/>
      <c r="AJ38" s="33"/>
      <c r="AK38" s="33"/>
      <c r="AL38" s="33"/>
      <c r="AM38" s="33"/>
      <c r="AN38" s="33"/>
      <c r="AO38" s="33"/>
      <c r="AP38" s="33"/>
      <c r="AQ38" s="33"/>
      <c r="AR38" s="33"/>
      <c r="AS38" s="33"/>
      <c r="AT38" s="33"/>
      <c r="AU38" s="33"/>
      <c r="AV38" s="35">
        <f>265000+65000</f>
        <v>330000</v>
      </c>
      <c r="AW38" s="35"/>
      <c r="AX38" s="35"/>
      <c r="AY38" s="35"/>
      <c r="AZ38" s="35">
        <f>80000+80000</f>
        <v>160000</v>
      </c>
      <c r="BA38" s="35"/>
      <c r="BB38" s="35"/>
      <c r="BC38" s="35"/>
      <c r="BD38" s="47"/>
      <c r="BE38" s="35"/>
      <c r="BF38" s="43">
        <f t="shared" si="0"/>
        <v>75032492.359999999</v>
      </c>
      <c r="BG38" s="35"/>
      <c r="BH38" s="35"/>
      <c r="BI38" s="35"/>
      <c r="BJ38" s="35"/>
      <c r="BK38" s="35"/>
      <c r="BL38" s="35">
        <v>26000</v>
      </c>
      <c r="BM38" s="35"/>
      <c r="BN38" s="35"/>
      <c r="BO38" s="35"/>
      <c r="BP38" s="35"/>
      <c r="BQ38" s="35"/>
      <c r="BR38" s="35"/>
      <c r="BS38" s="35"/>
      <c r="BT38" s="35"/>
      <c r="BU38" s="35"/>
      <c r="BV38" s="35"/>
      <c r="BW38" s="35"/>
      <c r="BX38" s="35"/>
      <c r="BY38" s="35"/>
      <c r="BZ38" s="35"/>
      <c r="CA38" s="35"/>
      <c r="CB38" s="35"/>
      <c r="CC38" s="35"/>
      <c r="CD38" s="35"/>
      <c r="CE38" s="47"/>
      <c r="CF38" s="47"/>
      <c r="CG38" s="47"/>
      <c r="CH38" s="47"/>
      <c r="CI38" s="43">
        <f t="shared" si="2"/>
        <v>26000</v>
      </c>
    </row>
    <row r="39" spans="1:87" ht="74.25" customHeight="1" x14ac:dyDescent="0.8">
      <c r="A39" s="14" t="s">
        <v>43</v>
      </c>
      <c r="B39" s="15" t="s">
        <v>78</v>
      </c>
      <c r="C39" s="34"/>
      <c r="D39" s="34"/>
      <c r="E39" s="34">
        <f>45851600-1966000</f>
        <v>43885600</v>
      </c>
      <c r="F39" s="34">
        <f>56332500-6750000-10000000-3969500+50000-289169.21+43955000-737600+320000+425700+10712600+718600</f>
        <v>90768130.789999992</v>
      </c>
      <c r="G39" s="34">
        <f>779200+33000-57400+130900</f>
        <v>885700</v>
      </c>
      <c r="H39" s="33">
        <f>2032331+300000-340000</f>
        <v>1992331</v>
      </c>
      <c r="I39" s="33"/>
      <c r="J39" s="33"/>
      <c r="K39" s="33"/>
      <c r="L39" s="33"/>
      <c r="M39" s="43">
        <f t="shared" si="1"/>
        <v>0</v>
      </c>
      <c r="N39" s="33"/>
      <c r="O39" s="33"/>
      <c r="P39" s="33"/>
      <c r="Q39" s="33"/>
      <c r="R39" s="33"/>
      <c r="S39" s="33"/>
      <c r="T39" s="33"/>
      <c r="U39" s="43">
        <f t="shared" si="3"/>
        <v>0</v>
      </c>
      <c r="V39" s="33"/>
      <c r="W39" s="33"/>
      <c r="X39" s="33"/>
      <c r="Y39" s="33">
        <f>576921+223079-50000-750000</f>
        <v>0</v>
      </c>
      <c r="Z39" s="33"/>
      <c r="AA39" s="33"/>
      <c r="AB39" s="33"/>
      <c r="AC39" s="33"/>
      <c r="AD39" s="33"/>
      <c r="AE39" s="33">
        <f>258456-140976-110902.85</f>
        <v>6577.1499999999942</v>
      </c>
      <c r="AF39" s="33">
        <f>407123+162864</f>
        <v>569987</v>
      </c>
      <c r="AG39" s="33"/>
      <c r="AH39" s="33">
        <f>500000+500000</f>
        <v>1000000</v>
      </c>
      <c r="AI39" s="33"/>
      <c r="AJ39" s="33"/>
      <c r="AK39" s="33"/>
      <c r="AL39" s="33"/>
      <c r="AM39" s="33"/>
      <c r="AN39" s="33"/>
      <c r="AO39" s="33"/>
      <c r="AP39" s="33"/>
      <c r="AQ39" s="33"/>
      <c r="AR39" s="33"/>
      <c r="AS39" s="33"/>
      <c r="AT39" s="33"/>
      <c r="AU39" s="33">
        <f>700000+200000</f>
        <v>900000</v>
      </c>
      <c r="AV39" s="35">
        <f>520000-90000</f>
        <v>430000</v>
      </c>
      <c r="AW39" s="35"/>
      <c r="AX39" s="35"/>
      <c r="AY39" s="35"/>
      <c r="AZ39" s="35">
        <f>100000+90000-112000</f>
        <v>78000</v>
      </c>
      <c r="BA39" s="35"/>
      <c r="BB39" s="35">
        <v>131300</v>
      </c>
      <c r="BC39" s="35">
        <f>700000-700000</f>
        <v>0</v>
      </c>
      <c r="BD39" s="47"/>
      <c r="BE39" s="35"/>
      <c r="BF39" s="43">
        <f t="shared" si="0"/>
        <v>140647625.94</v>
      </c>
      <c r="BG39" s="35"/>
      <c r="BH39" s="35"/>
      <c r="BI39" s="35"/>
      <c r="BJ39" s="35"/>
      <c r="BK39" s="35"/>
      <c r="BL39" s="35">
        <f>7600+1800</f>
        <v>9400</v>
      </c>
      <c r="BM39" s="35"/>
      <c r="BN39" s="35"/>
      <c r="BO39" s="35"/>
      <c r="BP39" s="35"/>
      <c r="BQ39" s="35"/>
      <c r="BR39" s="35"/>
      <c r="BS39" s="35"/>
      <c r="BT39" s="35"/>
      <c r="BU39" s="35"/>
      <c r="BV39" s="35"/>
      <c r="BW39" s="35"/>
      <c r="BX39" s="35"/>
      <c r="BY39" s="35"/>
      <c r="BZ39" s="35"/>
      <c r="CA39" s="35"/>
      <c r="CB39" s="35"/>
      <c r="CC39" s="35"/>
      <c r="CD39" s="35"/>
      <c r="CE39" s="47"/>
      <c r="CF39" s="47"/>
      <c r="CG39" s="47"/>
      <c r="CH39" s="47"/>
      <c r="CI39" s="43">
        <f t="shared" si="2"/>
        <v>9400</v>
      </c>
    </row>
    <row r="40" spans="1:87" ht="74.25" customHeight="1" x14ac:dyDescent="0.8">
      <c r="A40" s="14" t="s">
        <v>44</v>
      </c>
      <c r="B40" s="15" t="s">
        <v>79</v>
      </c>
      <c r="C40" s="34"/>
      <c r="D40" s="34"/>
      <c r="E40" s="34">
        <f>82314500-4063600</f>
        <v>78250900</v>
      </c>
      <c r="F40" s="34">
        <f>59212000-13550000-6529500-5410700-442754.18+41650000-691000+81000+2048100+8598800+678000</f>
        <v>85643945.819999993</v>
      </c>
      <c r="G40" s="34">
        <f>2271700+683000-141400+135900</f>
        <v>2949200</v>
      </c>
      <c r="H40" s="33">
        <f>7711923-250000-400000-340000</f>
        <v>6721923</v>
      </c>
      <c r="I40" s="33"/>
      <c r="J40" s="33"/>
      <c r="K40" s="33"/>
      <c r="L40" s="33">
        <f>41774-41774</f>
        <v>0</v>
      </c>
      <c r="M40" s="43">
        <f t="shared" si="1"/>
        <v>269600</v>
      </c>
      <c r="N40" s="33">
        <v>92300</v>
      </c>
      <c r="O40" s="33">
        <v>200</v>
      </c>
      <c r="P40" s="33"/>
      <c r="Q40" s="33"/>
      <c r="R40" s="33">
        <v>176700</v>
      </c>
      <c r="S40" s="33"/>
      <c r="T40" s="33">
        <v>400</v>
      </c>
      <c r="U40" s="43">
        <f t="shared" si="3"/>
        <v>0</v>
      </c>
      <c r="V40" s="33"/>
      <c r="W40" s="33"/>
      <c r="X40" s="33"/>
      <c r="Y40" s="33"/>
      <c r="Z40" s="33"/>
      <c r="AA40" s="33"/>
      <c r="AB40" s="33"/>
      <c r="AC40" s="33"/>
      <c r="AD40" s="33"/>
      <c r="AE40" s="33">
        <f>53613</f>
        <v>53613</v>
      </c>
      <c r="AF40" s="33">
        <f>403091+161251-58231</f>
        <v>506111</v>
      </c>
      <c r="AG40" s="33"/>
      <c r="AH40" s="33">
        <f>547600</f>
        <v>547600</v>
      </c>
      <c r="AI40" s="33"/>
      <c r="AJ40" s="33">
        <v>41774</v>
      </c>
      <c r="AK40" s="33"/>
      <c r="AL40" s="33"/>
      <c r="AM40" s="33"/>
      <c r="AN40" s="33"/>
      <c r="AO40" s="33"/>
      <c r="AP40" s="33"/>
      <c r="AQ40" s="33"/>
      <c r="AR40" s="33"/>
      <c r="AS40" s="33"/>
      <c r="AT40" s="33"/>
      <c r="AU40" s="33"/>
      <c r="AV40" s="35">
        <f>415000-20000</f>
        <v>395000</v>
      </c>
      <c r="AW40" s="35"/>
      <c r="AX40" s="35"/>
      <c r="AY40" s="35"/>
      <c r="AZ40" s="35">
        <f>80000+120000</f>
        <v>200000</v>
      </c>
      <c r="BA40" s="35">
        <f>400000</f>
        <v>400000</v>
      </c>
      <c r="BB40" s="35">
        <f>1045000+300000</f>
        <v>1345000</v>
      </c>
      <c r="BC40" s="35"/>
      <c r="BD40" s="47"/>
      <c r="BE40" s="35"/>
      <c r="BF40" s="43">
        <f t="shared" si="0"/>
        <v>177324666.81999999</v>
      </c>
      <c r="BG40" s="35"/>
      <c r="BH40" s="35"/>
      <c r="BI40" s="35"/>
      <c r="BJ40" s="35"/>
      <c r="BK40" s="35"/>
      <c r="BL40" s="35">
        <v>45000</v>
      </c>
      <c r="BM40" s="35"/>
      <c r="BN40" s="35"/>
      <c r="BO40" s="35"/>
      <c r="BP40" s="35"/>
      <c r="BQ40" s="35"/>
      <c r="BR40" s="35"/>
      <c r="BS40" s="35"/>
      <c r="BT40" s="35"/>
      <c r="BU40" s="35"/>
      <c r="BV40" s="35"/>
      <c r="BW40" s="35"/>
      <c r="BX40" s="35"/>
      <c r="BY40" s="35"/>
      <c r="BZ40" s="35"/>
      <c r="CA40" s="35"/>
      <c r="CB40" s="35"/>
      <c r="CC40" s="35"/>
      <c r="CD40" s="35"/>
      <c r="CE40" s="47"/>
      <c r="CF40" s="47"/>
      <c r="CG40" s="47"/>
      <c r="CH40" s="47"/>
      <c r="CI40" s="43">
        <f t="shared" si="2"/>
        <v>45000</v>
      </c>
    </row>
    <row r="41" spans="1:87" ht="74.25" customHeight="1" x14ac:dyDescent="0.8">
      <c r="A41" s="14" t="s">
        <v>45</v>
      </c>
      <c r="B41" s="15" t="s">
        <v>80</v>
      </c>
      <c r="C41" s="34"/>
      <c r="D41" s="34">
        <v>300000</v>
      </c>
      <c r="E41" s="34">
        <f>57347800-2828400</f>
        <v>54519400</v>
      </c>
      <c r="F41" s="34">
        <f>42561300-3420000-5695200+20000-409639.59+29968600-544400+149000+2121000+6664800+569900</f>
        <v>71985360.409999996</v>
      </c>
      <c r="G41" s="34">
        <f>717300+210500+163500+71500</f>
        <v>1162800</v>
      </c>
      <c r="H41" s="33">
        <f>1558885+150000-89000</f>
        <v>1619885</v>
      </c>
      <c r="I41" s="33"/>
      <c r="J41" s="33"/>
      <c r="K41" s="33"/>
      <c r="L41" s="33"/>
      <c r="M41" s="43">
        <f t="shared" si="1"/>
        <v>1035700</v>
      </c>
      <c r="N41" s="33"/>
      <c r="O41" s="33"/>
      <c r="P41" s="33"/>
      <c r="Q41" s="33"/>
      <c r="R41" s="33">
        <v>989200</v>
      </c>
      <c r="S41" s="33">
        <v>44200</v>
      </c>
      <c r="T41" s="33">
        <v>2300</v>
      </c>
      <c r="U41" s="43">
        <f t="shared" si="3"/>
        <v>0</v>
      </c>
      <c r="V41" s="33"/>
      <c r="W41" s="33"/>
      <c r="X41" s="33"/>
      <c r="Y41" s="33"/>
      <c r="Z41" s="33"/>
      <c r="AA41" s="33"/>
      <c r="AB41" s="33"/>
      <c r="AC41" s="33"/>
      <c r="AD41" s="33"/>
      <c r="AE41" s="33">
        <f>107227</f>
        <v>107227</v>
      </c>
      <c r="AF41" s="33">
        <f>507685+203092-50000</f>
        <v>660777</v>
      </c>
      <c r="AG41" s="33"/>
      <c r="AH41" s="33">
        <f>930000</f>
        <v>930000</v>
      </c>
      <c r="AI41" s="33"/>
      <c r="AJ41" s="33"/>
      <c r="AK41" s="33"/>
      <c r="AL41" s="33"/>
      <c r="AM41" s="33"/>
      <c r="AN41" s="33"/>
      <c r="AO41" s="33"/>
      <c r="AP41" s="33"/>
      <c r="AQ41" s="33"/>
      <c r="AR41" s="33"/>
      <c r="AS41" s="33"/>
      <c r="AT41" s="33"/>
      <c r="AU41" s="33">
        <f>300000</f>
        <v>300000</v>
      </c>
      <c r="AV41" s="35">
        <f>2055000+20000-5000</f>
        <v>2070000</v>
      </c>
      <c r="AW41" s="35"/>
      <c r="AX41" s="35"/>
      <c r="AY41" s="35"/>
      <c r="AZ41" s="35">
        <f>135000+60000</f>
        <v>195000</v>
      </c>
      <c r="BA41" s="35"/>
      <c r="BB41" s="35"/>
      <c r="BC41" s="35"/>
      <c r="BD41" s="47"/>
      <c r="BE41" s="35"/>
      <c r="BF41" s="43">
        <f t="shared" si="0"/>
        <v>134886149.41</v>
      </c>
      <c r="BG41" s="35"/>
      <c r="BH41" s="35"/>
      <c r="BI41" s="35"/>
      <c r="BJ41" s="35"/>
      <c r="BK41" s="35">
        <v>900000</v>
      </c>
      <c r="BL41" s="35">
        <f>38000</f>
        <v>38000</v>
      </c>
      <c r="BM41" s="35"/>
      <c r="BN41" s="35"/>
      <c r="BO41" s="35"/>
      <c r="BP41" s="35"/>
      <c r="BQ41" s="35"/>
      <c r="BR41" s="35"/>
      <c r="BS41" s="35"/>
      <c r="BT41" s="35"/>
      <c r="BU41" s="35"/>
      <c r="BV41" s="35"/>
      <c r="BW41" s="35"/>
      <c r="BX41" s="35"/>
      <c r="BY41" s="35"/>
      <c r="BZ41" s="35"/>
      <c r="CA41" s="35"/>
      <c r="CB41" s="35"/>
      <c r="CC41" s="35"/>
      <c r="CD41" s="35"/>
      <c r="CE41" s="47"/>
      <c r="CF41" s="47"/>
      <c r="CG41" s="47"/>
      <c r="CH41" s="47"/>
      <c r="CI41" s="43">
        <f t="shared" si="2"/>
        <v>938000</v>
      </c>
    </row>
    <row r="42" spans="1:87" ht="74.25" customHeight="1" x14ac:dyDescent="0.8">
      <c r="A42" s="14" t="s">
        <v>46</v>
      </c>
      <c r="B42" s="15" t="s">
        <v>81</v>
      </c>
      <c r="C42" s="34"/>
      <c r="D42" s="34"/>
      <c r="E42" s="34">
        <f>65509100-1979500</f>
        <v>63529600</v>
      </c>
      <c r="F42" s="34">
        <f>45608000-9450000-592300+400000-14059.64+26791200-477200-8975300+16430000+562300</f>
        <v>70282640.359999999</v>
      </c>
      <c r="G42" s="34">
        <f>994900-361500+100600+110900</f>
        <v>844900</v>
      </c>
      <c r="H42" s="33">
        <f>1721491-20000-91000</f>
        <v>1610491</v>
      </c>
      <c r="I42" s="33"/>
      <c r="J42" s="33"/>
      <c r="K42" s="33">
        <v>500000</v>
      </c>
      <c r="L42" s="33"/>
      <c r="M42" s="43">
        <f t="shared" si="1"/>
        <v>0</v>
      </c>
      <c r="N42" s="33"/>
      <c r="O42" s="33"/>
      <c r="P42" s="33"/>
      <c r="Q42" s="33"/>
      <c r="R42" s="33"/>
      <c r="S42" s="33"/>
      <c r="T42" s="33"/>
      <c r="U42" s="43">
        <f t="shared" si="3"/>
        <v>1110600</v>
      </c>
      <c r="V42" s="33"/>
      <c r="W42" s="33">
        <v>1110600</v>
      </c>
      <c r="X42" s="33"/>
      <c r="Y42" s="33">
        <f>192307-192307</f>
        <v>0</v>
      </c>
      <c r="Z42" s="33"/>
      <c r="AA42" s="33"/>
      <c r="AB42" s="33"/>
      <c r="AC42" s="33"/>
      <c r="AD42" s="33"/>
      <c r="AE42" s="33">
        <f>53613</f>
        <v>53613</v>
      </c>
      <c r="AF42" s="33">
        <f>415809+166339</f>
        <v>582148</v>
      </c>
      <c r="AG42" s="33">
        <f>629077</f>
        <v>629077</v>
      </c>
      <c r="AH42" s="33">
        <f>900000+1053600</f>
        <v>1953600</v>
      </c>
      <c r="AI42" s="33">
        <v>950000</v>
      </c>
      <c r="AJ42" s="33"/>
      <c r="AK42" s="33"/>
      <c r="AL42" s="33"/>
      <c r="AM42" s="33"/>
      <c r="AN42" s="33"/>
      <c r="AO42" s="33"/>
      <c r="AP42" s="33"/>
      <c r="AQ42" s="33"/>
      <c r="AR42" s="33"/>
      <c r="AS42" s="33"/>
      <c r="AT42" s="33"/>
      <c r="AU42" s="33">
        <f>500000</f>
        <v>500000</v>
      </c>
      <c r="AV42" s="35">
        <v>980000</v>
      </c>
      <c r="AW42" s="35"/>
      <c r="AX42" s="35"/>
      <c r="AY42" s="35"/>
      <c r="AZ42" s="35">
        <f>98000+100000</f>
        <v>198000</v>
      </c>
      <c r="BA42" s="35"/>
      <c r="BB42" s="35">
        <f>470000+874590</f>
        <v>1344590</v>
      </c>
      <c r="BC42" s="35"/>
      <c r="BD42" s="47"/>
      <c r="BE42" s="35"/>
      <c r="BF42" s="43">
        <f t="shared" si="0"/>
        <v>145069259.36000001</v>
      </c>
      <c r="BG42" s="35"/>
      <c r="BH42" s="35"/>
      <c r="BI42" s="35"/>
      <c r="BJ42" s="35"/>
      <c r="BK42" s="35"/>
      <c r="BL42" s="35">
        <v>17000</v>
      </c>
      <c r="BM42" s="35"/>
      <c r="BN42" s="35"/>
      <c r="BO42" s="35"/>
      <c r="BP42" s="35"/>
      <c r="BQ42" s="35"/>
      <c r="BR42" s="35"/>
      <c r="BS42" s="35"/>
      <c r="BT42" s="35"/>
      <c r="BU42" s="35"/>
      <c r="BV42" s="35"/>
      <c r="BW42" s="35"/>
      <c r="BX42" s="35"/>
      <c r="BY42" s="35"/>
      <c r="BZ42" s="35"/>
      <c r="CA42" s="35"/>
      <c r="CB42" s="35"/>
      <c r="CC42" s="35"/>
      <c r="CD42" s="35"/>
      <c r="CE42" s="47"/>
      <c r="CF42" s="47"/>
      <c r="CG42" s="47"/>
      <c r="CH42" s="47"/>
      <c r="CI42" s="43">
        <f t="shared" si="2"/>
        <v>17000</v>
      </c>
    </row>
    <row r="43" spans="1:87" ht="74.25" customHeight="1" x14ac:dyDescent="0.8">
      <c r="A43" s="14" t="s">
        <v>47</v>
      </c>
      <c r="B43" s="15" t="s">
        <v>82</v>
      </c>
      <c r="C43" s="34"/>
      <c r="D43" s="34">
        <v>900000</v>
      </c>
      <c r="E43" s="34">
        <f>40513000-2382800</f>
        <v>38130200</v>
      </c>
      <c r="F43" s="34">
        <f>32370900-600000-6423900-370000-235211+23834400-394000-5245800+12428300+441800</f>
        <v>55806489</v>
      </c>
      <c r="G43" s="34">
        <f>1324400+44000+495000+78100+16000</f>
        <v>1957500</v>
      </c>
      <c r="H43" s="33">
        <f>2015850-50000-114000</f>
        <v>1851850</v>
      </c>
      <c r="I43" s="33"/>
      <c r="J43" s="33"/>
      <c r="K43" s="33"/>
      <c r="L43" s="33"/>
      <c r="M43" s="43">
        <f t="shared" si="1"/>
        <v>171200</v>
      </c>
      <c r="N43" s="33"/>
      <c r="O43" s="33"/>
      <c r="P43" s="33"/>
      <c r="Q43" s="33"/>
      <c r="R43" s="33">
        <v>171000</v>
      </c>
      <c r="S43" s="33"/>
      <c r="T43" s="33">
        <v>200</v>
      </c>
      <c r="U43" s="43">
        <f t="shared" si="3"/>
        <v>0</v>
      </c>
      <c r="V43" s="33"/>
      <c r="W43" s="33"/>
      <c r="X43" s="33"/>
      <c r="Y43" s="33"/>
      <c r="Z43" s="33"/>
      <c r="AA43" s="33"/>
      <c r="AB43" s="33"/>
      <c r="AC43" s="33"/>
      <c r="AD43" s="33"/>
      <c r="AE43" s="33"/>
      <c r="AF43" s="33">
        <f>256648+102669-28520</f>
        <v>330797</v>
      </c>
      <c r="AG43" s="33"/>
      <c r="AH43" s="33">
        <f>950000+537500</f>
        <v>1487500</v>
      </c>
      <c r="AI43" s="33"/>
      <c r="AJ43" s="33"/>
      <c r="AK43" s="33"/>
      <c r="AL43" s="33"/>
      <c r="AM43" s="33"/>
      <c r="AN43" s="33"/>
      <c r="AO43" s="33"/>
      <c r="AP43" s="33"/>
      <c r="AQ43" s="33"/>
      <c r="AR43" s="33"/>
      <c r="AS43" s="33"/>
      <c r="AT43" s="33"/>
      <c r="AU43" s="33">
        <f>1500000+700000</f>
        <v>2200000</v>
      </c>
      <c r="AV43" s="35">
        <f>410000-50000-25000</f>
        <v>335000</v>
      </c>
      <c r="AW43" s="35"/>
      <c r="AX43" s="35"/>
      <c r="AY43" s="35"/>
      <c r="AZ43" s="35">
        <f>130000+95000</f>
        <v>225000</v>
      </c>
      <c r="BA43" s="35">
        <v>600000</v>
      </c>
      <c r="BB43" s="35">
        <v>500000</v>
      </c>
      <c r="BC43" s="35"/>
      <c r="BD43" s="47"/>
      <c r="BE43" s="35"/>
      <c r="BF43" s="43">
        <f t="shared" si="0"/>
        <v>104495536</v>
      </c>
      <c r="BG43" s="35"/>
      <c r="BH43" s="35"/>
      <c r="BI43" s="35"/>
      <c r="BJ43" s="35"/>
      <c r="BK43" s="35"/>
      <c r="BL43" s="35">
        <v>21000</v>
      </c>
      <c r="BM43" s="35"/>
      <c r="BN43" s="35"/>
      <c r="BO43" s="35"/>
      <c r="BP43" s="35"/>
      <c r="BQ43" s="35"/>
      <c r="BR43" s="35"/>
      <c r="BS43" s="35"/>
      <c r="BT43" s="35"/>
      <c r="BU43" s="35"/>
      <c r="BV43" s="35"/>
      <c r="BW43" s="35"/>
      <c r="BX43" s="35"/>
      <c r="BY43" s="35"/>
      <c r="BZ43" s="35"/>
      <c r="CA43" s="35"/>
      <c r="CB43" s="35"/>
      <c r="CC43" s="35"/>
      <c r="CD43" s="35"/>
      <c r="CE43" s="47"/>
      <c r="CF43" s="47"/>
      <c r="CG43" s="47"/>
      <c r="CH43" s="47"/>
      <c r="CI43" s="43">
        <f t="shared" si="2"/>
        <v>21000</v>
      </c>
    </row>
    <row r="44" spans="1:87" ht="70.5" customHeight="1" x14ac:dyDescent="0.8">
      <c r="A44" s="14" t="s">
        <v>48</v>
      </c>
      <c r="B44" s="15" t="s">
        <v>83</v>
      </c>
      <c r="C44" s="34"/>
      <c r="D44" s="34">
        <v>300000</v>
      </c>
      <c r="E44" s="34">
        <f>52035900-2500900</f>
        <v>49535000</v>
      </c>
      <c r="F44" s="34">
        <f>51583700-11100000+10600+1050000-395653.84+26803500-500700-5000000-6603600+19644500+602400</f>
        <v>76094746.159999996</v>
      </c>
      <c r="G44" s="34">
        <f>1272800+278000+312000-223440+475800</f>
        <v>2115160</v>
      </c>
      <c r="H44" s="33">
        <f>4257368-100000-157000</f>
        <v>4000368</v>
      </c>
      <c r="I44" s="33">
        <v>53170</v>
      </c>
      <c r="J44" s="33"/>
      <c r="K44" s="33"/>
      <c r="L44" s="33">
        <v>366400</v>
      </c>
      <c r="M44" s="43">
        <f t="shared" si="1"/>
        <v>0</v>
      </c>
      <c r="N44" s="33"/>
      <c r="O44" s="33"/>
      <c r="P44" s="33"/>
      <c r="Q44" s="33"/>
      <c r="R44" s="33"/>
      <c r="S44" s="33"/>
      <c r="T44" s="33"/>
      <c r="U44" s="43">
        <f t="shared" si="3"/>
        <v>0</v>
      </c>
      <c r="V44" s="33"/>
      <c r="W44" s="33"/>
      <c r="X44" s="33"/>
      <c r="Y44" s="33">
        <f>384614-384614</f>
        <v>0</v>
      </c>
      <c r="Z44" s="33"/>
      <c r="AA44" s="33"/>
      <c r="AB44" s="33"/>
      <c r="AC44" s="33"/>
      <c r="AD44" s="33"/>
      <c r="AE44" s="33">
        <f>46992-25632</f>
        <v>21360</v>
      </c>
      <c r="AF44" s="33">
        <f>330166+132078</f>
        <v>462244</v>
      </c>
      <c r="AG44" s="33"/>
      <c r="AH44" s="33">
        <f>950000+40600</f>
        <v>990600</v>
      </c>
      <c r="AI44" s="33">
        <v>500000</v>
      </c>
      <c r="AJ44" s="33"/>
      <c r="AK44" s="33"/>
      <c r="AL44" s="33"/>
      <c r="AM44" s="33"/>
      <c r="AN44" s="33"/>
      <c r="AO44" s="33"/>
      <c r="AP44" s="33"/>
      <c r="AQ44" s="33"/>
      <c r="AR44" s="33"/>
      <c r="AS44" s="33"/>
      <c r="AT44" s="33"/>
      <c r="AU44" s="33"/>
      <c r="AV44" s="35">
        <v>341900</v>
      </c>
      <c r="AW44" s="35"/>
      <c r="AX44" s="35"/>
      <c r="AY44" s="35"/>
      <c r="AZ44" s="35">
        <f>50000+90000</f>
        <v>140000</v>
      </c>
      <c r="BA44" s="35"/>
      <c r="BB44" s="35"/>
      <c r="BC44" s="35"/>
      <c r="BD44" s="47"/>
      <c r="BE44" s="35"/>
      <c r="BF44" s="43">
        <f t="shared" ref="BF44:BF75" si="10">SUM(C44:BE44)-P44-Q44-V44-W44-X44-Y44-Z44-AD44-O44-N44-AA44-R44-T44-AC44-AB44-AQ44-S44</f>
        <v>134920948.16</v>
      </c>
      <c r="BG44" s="35"/>
      <c r="BH44" s="35"/>
      <c r="BI44" s="35"/>
      <c r="BJ44" s="35"/>
      <c r="BK44" s="35"/>
      <c r="BL44" s="35">
        <f>21000</f>
        <v>21000</v>
      </c>
      <c r="BM44" s="35"/>
      <c r="BN44" s="35"/>
      <c r="BO44" s="35"/>
      <c r="BP44" s="35"/>
      <c r="BQ44" s="35"/>
      <c r="BR44" s="35"/>
      <c r="BS44" s="35"/>
      <c r="BT44" s="35"/>
      <c r="BU44" s="35"/>
      <c r="BV44" s="35"/>
      <c r="BW44" s="35"/>
      <c r="BX44" s="35"/>
      <c r="BY44" s="35"/>
      <c r="BZ44" s="35"/>
      <c r="CA44" s="35"/>
      <c r="CB44" s="35"/>
      <c r="CC44" s="35"/>
      <c r="CD44" s="35"/>
      <c r="CE44" s="47"/>
      <c r="CF44" s="47"/>
      <c r="CG44" s="47"/>
      <c r="CH44" s="47"/>
      <c r="CI44" s="43">
        <f t="shared" si="2"/>
        <v>21000</v>
      </c>
    </row>
    <row r="45" spans="1:87" ht="74.25" customHeight="1" x14ac:dyDescent="0.8">
      <c r="A45" s="14" t="s">
        <v>49</v>
      </c>
      <c r="B45" s="15" t="s">
        <v>84</v>
      </c>
      <c r="C45" s="34"/>
      <c r="D45" s="34">
        <v>440000</v>
      </c>
      <c r="E45" s="34">
        <f>40455200-1653100</f>
        <v>38802100</v>
      </c>
      <c r="F45" s="34">
        <f>50240700-13000000+645500+370000-378860.45+25681300-406100-5000000-7254800+19280900+560000</f>
        <v>70738639.549999997</v>
      </c>
      <c r="G45" s="34">
        <f>879600-225590+129390+268700</f>
        <v>1052100</v>
      </c>
      <c r="H45" s="33">
        <f>1555522-63900-105000</f>
        <v>1386622</v>
      </c>
      <c r="I45" s="33"/>
      <c r="J45" s="33"/>
      <c r="K45" s="33"/>
      <c r="L45" s="33"/>
      <c r="M45" s="43">
        <f t="shared" si="1"/>
        <v>137600</v>
      </c>
      <c r="N45" s="33"/>
      <c r="O45" s="33"/>
      <c r="P45" s="33"/>
      <c r="Q45" s="33">
        <v>200</v>
      </c>
      <c r="R45" s="33">
        <v>136200</v>
      </c>
      <c r="S45" s="33"/>
      <c r="T45" s="33">
        <v>1200</v>
      </c>
      <c r="U45" s="43">
        <f t="shared" si="3"/>
        <v>0</v>
      </c>
      <c r="V45" s="33"/>
      <c r="W45" s="33"/>
      <c r="X45" s="33"/>
      <c r="Y45" s="33">
        <f>384614-384614</f>
        <v>0</v>
      </c>
      <c r="Z45" s="33"/>
      <c r="AA45" s="33"/>
      <c r="AB45" s="33"/>
      <c r="AC45" s="33"/>
      <c r="AD45" s="33"/>
      <c r="AE45" s="33">
        <f>23496+95479</f>
        <v>118975</v>
      </c>
      <c r="AF45" s="33">
        <f>149178+59677+48000</f>
        <v>256855</v>
      </c>
      <c r="AG45" s="33">
        <f>491730</f>
        <v>491730</v>
      </c>
      <c r="AH45" s="33">
        <f>1670500+829500</f>
        <v>2500000</v>
      </c>
      <c r="AI45" s="33"/>
      <c r="AJ45" s="33"/>
      <c r="AK45" s="33"/>
      <c r="AL45" s="33"/>
      <c r="AM45" s="33"/>
      <c r="AN45" s="33"/>
      <c r="AO45" s="33"/>
      <c r="AP45" s="33"/>
      <c r="AQ45" s="33"/>
      <c r="AR45" s="33"/>
      <c r="AS45" s="33"/>
      <c r="AT45" s="33"/>
      <c r="AU45" s="33">
        <f>1000000+700000</f>
        <v>1700000</v>
      </c>
      <c r="AV45" s="35">
        <f>410000-20000</f>
        <v>390000</v>
      </c>
      <c r="AW45" s="35"/>
      <c r="AX45" s="35"/>
      <c r="AY45" s="35"/>
      <c r="AZ45" s="35">
        <f>60000+35000+160000</f>
        <v>255000</v>
      </c>
      <c r="BA45" s="35"/>
      <c r="BB45" s="35"/>
      <c r="BC45" s="35"/>
      <c r="BD45" s="47"/>
      <c r="BE45" s="35"/>
      <c r="BF45" s="43">
        <f t="shared" si="10"/>
        <v>118269621.55</v>
      </c>
      <c r="BG45" s="35"/>
      <c r="BH45" s="35"/>
      <c r="BI45" s="35"/>
      <c r="BJ45" s="35"/>
      <c r="BK45" s="35"/>
      <c r="BL45" s="35">
        <f>10000+11000</f>
        <v>21000</v>
      </c>
      <c r="BM45" s="35"/>
      <c r="BN45" s="35"/>
      <c r="BO45" s="35"/>
      <c r="BP45" s="35"/>
      <c r="BQ45" s="35"/>
      <c r="BR45" s="35"/>
      <c r="BS45" s="35"/>
      <c r="BT45" s="35"/>
      <c r="BU45" s="35"/>
      <c r="BV45" s="35"/>
      <c r="BW45" s="35"/>
      <c r="BX45" s="35"/>
      <c r="BY45" s="35"/>
      <c r="BZ45" s="35"/>
      <c r="CA45" s="35"/>
      <c r="CB45" s="35"/>
      <c r="CC45" s="35"/>
      <c r="CD45" s="35"/>
      <c r="CE45" s="47"/>
      <c r="CF45" s="47"/>
      <c r="CG45" s="47"/>
      <c r="CH45" s="47"/>
      <c r="CI45" s="43">
        <f t="shared" si="2"/>
        <v>21000</v>
      </c>
    </row>
    <row r="46" spans="1:87" ht="74.25" customHeight="1" x14ac:dyDescent="0.8">
      <c r="A46" s="14" t="s">
        <v>50</v>
      </c>
      <c r="B46" s="15" t="s">
        <v>85</v>
      </c>
      <c r="C46" s="34"/>
      <c r="D46" s="34">
        <v>447000</v>
      </c>
      <c r="E46" s="34">
        <f>39992400-2281700</f>
        <v>37710700</v>
      </c>
      <c r="F46" s="34">
        <f>44658800-10700000-8886400-290000-187776.5+31988800-566100-2576200+1031700+9816400+513000</f>
        <v>64802223.5</v>
      </c>
      <c r="G46" s="34">
        <f>1104700+1000+38400+74400</f>
        <v>1218500</v>
      </c>
      <c r="H46" s="33">
        <f>1598108-55000</f>
        <v>1543108</v>
      </c>
      <c r="I46" s="33"/>
      <c r="J46" s="33"/>
      <c r="K46" s="33"/>
      <c r="L46" s="33"/>
      <c r="M46" s="43">
        <f t="shared" si="1"/>
        <v>604900</v>
      </c>
      <c r="N46" s="33"/>
      <c r="O46" s="33"/>
      <c r="P46" s="33"/>
      <c r="Q46" s="33"/>
      <c r="R46" s="33">
        <v>547200</v>
      </c>
      <c r="S46" s="33">
        <v>55900</v>
      </c>
      <c r="T46" s="33">
        <v>1800</v>
      </c>
      <c r="U46" s="43">
        <f t="shared" si="3"/>
        <v>0</v>
      </c>
      <c r="V46" s="33"/>
      <c r="W46" s="33"/>
      <c r="X46" s="33"/>
      <c r="Y46" s="33"/>
      <c r="Z46" s="33"/>
      <c r="AA46" s="33"/>
      <c r="AB46" s="33"/>
      <c r="AC46" s="33"/>
      <c r="AD46" s="33"/>
      <c r="AE46" s="33"/>
      <c r="AF46" s="33">
        <f>343420+137380-72501</f>
        <v>408299</v>
      </c>
      <c r="AG46" s="33"/>
      <c r="AH46" s="33">
        <f>1747000+624500</f>
        <v>2371500</v>
      </c>
      <c r="AI46" s="33"/>
      <c r="AJ46" s="33">
        <v>148957</v>
      </c>
      <c r="AK46" s="33"/>
      <c r="AL46" s="33"/>
      <c r="AM46" s="33"/>
      <c r="AN46" s="33"/>
      <c r="AO46" s="33"/>
      <c r="AP46" s="33"/>
      <c r="AQ46" s="33"/>
      <c r="AR46" s="33"/>
      <c r="AS46" s="33"/>
      <c r="AT46" s="33"/>
      <c r="AU46" s="33">
        <f>500000+900000</f>
        <v>1400000</v>
      </c>
      <c r="AV46" s="35">
        <f>1105000+13000-35000</f>
        <v>1083000</v>
      </c>
      <c r="AW46" s="35"/>
      <c r="AX46" s="35"/>
      <c r="AY46" s="35"/>
      <c r="AZ46" s="35">
        <f>45000+45000</f>
        <v>90000</v>
      </c>
      <c r="BA46" s="35"/>
      <c r="BB46" s="35"/>
      <c r="BC46" s="35"/>
      <c r="BD46" s="47"/>
      <c r="BE46" s="35"/>
      <c r="BF46" s="43">
        <f t="shared" si="10"/>
        <v>111828187.5</v>
      </c>
      <c r="BG46" s="35"/>
      <c r="BH46" s="35"/>
      <c r="BI46" s="35"/>
      <c r="BJ46" s="35"/>
      <c r="BK46" s="35">
        <f>132000-132000</f>
        <v>0</v>
      </c>
      <c r="BL46" s="35">
        <v>27000</v>
      </c>
      <c r="BM46" s="35"/>
      <c r="BN46" s="35"/>
      <c r="BO46" s="35"/>
      <c r="BP46" s="35"/>
      <c r="BQ46" s="35"/>
      <c r="BR46" s="35"/>
      <c r="BS46" s="35"/>
      <c r="BT46" s="35"/>
      <c r="BU46" s="35"/>
      <c r="BV46" s="35"/>
      <c r="BW46" s="35"/>
      <c r="BX46" s="35"/>
      <c r="BY46" s="35"/>
      <c r="BZ46" s="35"/>
      <c r="CA46" s="35"/>
      <c r="CB46" s="35"/>
      <c r="CC46" s="35"/>
      <c r="CD46" s="35"/>
      <c r="CE46" s="47"/>
      <c r="CF46" s="47"/>
      <c r="CG46" s="47"/>
      <c r="CH46" s="47"/>
      <c r="CI46" s="43">
        <f t="shared" si="2"/>
        <v>27000</v>
      </c>
    </row>
    <row r="47" spans="1:87" ht="74.25" customHeight="1" x14ac:dyDescent="0.8">
      <c r="A47" s="14" t="s">
        <v>51</v>
      </c>
      <c r="B47" s="15" t="s">
        <v>86</v>
      </c>
      <c r="C47" s="34"/>
      <c r="D47" s="34">
        <v>1300000</v>
      </c>
      <c r="E47" s="34">
        <f>19136700-1064500</f>
        <v>18072200</v>
      </c>
      <c r="F47" s="34">
        <f>18305500-4440000-3302900+3760000-198760.78+9914400-158700-988300+3510800+210700</f>
        <v>26612739.219999999</v>
      </c>
      <c r="G47" s="34">
        <f>1496300-265000-28500+22400</f>
        <v>1225200</v>
      </c>
      <c r="H47" s="33">
        <f>2078357-120000-255000</f>
        <v>1703357</v>
      </c>
      <c r="I47" s="33"/>
      <c r="J47" s="33"/>
      <c r="K47" s="33"/>
      <c r="L47" s="33"/>
      <c r="M47" s="43">
        <f t="shared" si="1"/>
        <v>223000</v>
      </c>
      <c r="N47" s="33"/>
      <c r="O47" s="33"/>
      <c r="P47" s="33"/>
      <c r="Q47" s="33"/>
      <c r="R47" s="33">
        <v>222600</v>
      </c>
      <c r="S47" s="33"/>
      <c r="T47" s="33">
        <v>400</v>
      </c>
      <c r="U47" s="43">
        <f t="shared" si="3"/>
        <v>7208080</v>
      </c>
      <c r="V47" s="33"/>
      <c r="W47" s="33"/>
      <c r="X47" s="33">
        <v>708000</v>
      </c>
      <c r="Y47" s="33"/>
      <c r="Z47" s="33">
        <v>6500080</v>
      </c>
      <c r="AA47" s="33"/>
      <c r="AB47" s="33"/>
      <c r="AC47" s="33"/>
      <c r="AD47" s="33"/>
      <c r="AE47" s="33"/>
      <c r="AF47" s="33">
        <f>119230+47696+65974</f>
        <v>232900</v>
      </c>
      <c r="AG47" s="33"/>
      <c r="AH47" s="33">
        <f>1200000+1256800</f>
        <v>2456800</v>
      </c>
      <c r="AI47" s="33"/>
      <c r="AJ47" s="33"/>
      <c r="AK47" s="33"/>
      <c r="AL47" s="33"/>
      <c r="AM47" s="33"/>
      <c r="AN47" s="33"/>
      <c r="AO47" s="33"/>
      <c r="AP47" s="33"/>
      <c r="AQ47" s="33"/>
      <c r="AR47" s="33"/>
      <c r="AS47" s="33"/>
      <c r="AT47" s="33"/>
      <c r="AU47" s="33">
        <f>1500000+2500000</f>
        <v>4000000</v>
      </c>
      <c r="AV47" s="35">
        <v>515000</v>
      </c>
      <c r="AW47" s="35"/>
      <c r="AX47" s="35"/>
      <c r="AY47" s="35"/>
      <c r="AZ47" s="35">
        <f>22000+35000+60000</f>
        <v>117000</v>
      </c>
      <c r="BA47" s="35"/>
      <c r="BB47" s="35">
        <f>450000</f>
        <v>450000</v>
      </c>
      <c r="BC47" s="35"/>
      <c r="BD47" s="47"/>
      <c r="BE47" s="35">
        <f>663606+540000+1100000+267691</f>
        <v>2571297</v>
      </c>
      <c r="BF47" s="43">
        <f t="shared" si="10"/>
        <v>66687573.219999999</v>
      </c>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47"/>
      <c r="CF47" s="47"/>
      <c r="CG47" s="47"/>
      <c r="CH47" s="47"/>
      <c r="CI47" s="43">
        <f t="shared" si="2"/>
        <v>0</v>
      </c>
    </row>
    <row r="48" spans="1:87" ht="74.25" customHeight="1" x14ac:dyDescent="0.8">
      <c r="A48" s="14"/>
      <c r="B48" s="15" t="s">
        <v>56</v>
      </c>
      <c r="C48" s="33">
        <f t="shared" ref="C48:L48" si="11">C47+C46+C45+C44+C43+C42+C41+C40+C39+C38+C37+C36+C35+C34+C33+C32+C31+C30+C29+C28+C27+C26</f>
        <v>0</v>
      </c>
      <c r="D48" s="33">
        <f t="shared" si="11"/>
        <v>5007000</v>
      </c>
      <c r="E48" s="33">
        <f t="shared" si="11"/>
        <v>1189471500</v>
      </c>
      <c r="F48" s="33">
        <f t="shared" si="11"/>
        <v>1624276583.5999999</v>
      </c>
      <c r="G48" s="33">
        <f t="shared" si="11"/>
        <v>39432460</v>
      </c>
      <c r="H48" s="33">
        <f t="shared" si="11"/>
        <v>51423976</v>
      </c>
      <c r="I48" s="33">
        <f>I47+I46+I45+I44+I43+I42+I41+I40+I39+I38+I37+I36+I35+I34+I33+I32+I31+I30+I29+I28+I27+I26</f>
        <v>53170</v>
      </c>
      <c r="J48" s="33">
        <f>J47+J46+J45+J44+J43+J42+J41+J40+J39+J38+J37+J36+J35+J34+J33+J32+J31+J30+J29+J28+J27+J26</f>
        <v>0</v>
      </c>
      <c r="K48" s="33">
        <f>K47+K46+K45+K44+K43+K42+K41+K40+K39+K38+K37+K36+K35+K34+K33+K32+K31+K30+K29+K28+K27+K26</f>
        <v>2500000</v>
      </c>
      <c r="L48" s="33">
        <f t="shared" si="11"/>
        <v>2080791.05</v>
      </c>
      <c r="M48" s="43">
        <f t="shared" si="1"/>
        <v>5116200</v>
      </c>
      <c r="N48" s="33">
        <f>N47+N46+N45+N44+N43+N42+N41+N40+N39+N38+N37+N36+N35+N34+N33+N32+N31+N30+N29+N28+N27+N26</f>
        <v>202200</v>
      </c>
      <c r="O48" s="33">
        <f t="shared" ref="O48:T48" si="12">O47+O46+O45+O44+O43+O42+O41+O40+O39+O38+O37+O36+O35+O34+O33+O32+O31+O30+O29+O28+O27+O26</f>
        <v>1900</v>
      </c>
      <c r="P48" s="33">
        <f t="shared" si="12"/>
        <v>0</v>
      </c>
      <c r="Q48" s="33">
        <f t="shared" si="12"/>
        <v>200</v>
      </c>
      <c r="R48" s="33">
        <f t="shared" si="12"/>
        <v>4754300</v>
      </c>
      <c r="S48" s="33">
        <f t="shared" si="12"/>
        <v>140400</v>
      </c>
      <c r="T48" s="33">
        <f t="shared" si="12"/>
        <v>17200</v>
      </c>
      <c r="U48" s="43">
        <f>V48+W48+X48+Y48+Z48+AD48+AA48+AC48+AB48</f>
        <v>32929295</v>
      </c>
      <c r="V48" s="33">
        <f t="shared" ref="V48:AJ48" si="13">V47+V46+V45+V44+V43+V42+V41+V40+V39+V38+V37+V36+V35+V34+V33+V32+V31+V30+V29+V28+V27+V26</f>
        <v>0</v>
      </c>
      <c r="W48" s="33">
        <f t="shared" si="13"/>
        <v>1110600</v>
      </c>
      <c r="X48" s="33">
        <f t="shared" si="13"/>
        <v>4603458</v>
      </c>
      <c r="Y48" s="33">
        <f>Y47+Y46+Y45+Y44+Y43+Y42+Y41+Y40+Y39+Y38+Y37+Y36+Y35+Y34+Y33+Y32+Y31+Y30+Y29+Y28+Y27+Y26</f>
        <v>2625000</v>
      </c>
      <c r="Z48" s="33">
        <f t="shared" si="13"/>
        <v>24590237</v>
      </c>
      <c r="AA48" s="33">
        <f t="shared" si="13"/>
        <v>0</v>
      </c>
      <c r="AB48" s="33">
        <f>AB47+AB46+AB45+AB44+AB43+AB42+AB41+AB40+AB39+AB38+AB37+AB36+AB35+AB34+AB33+AB32+AB31+AB30+AB29+AB28+AB27+AB26</f>
        <v>0</v>
      </c>
      <c r="AC48" s="33">
        <f>AC47+AC46+AC45+AC44+AC43+AC42+AC41+AC40+AC39+AC38+AC37+AC36+AC35+AC34+AC33+AC32+AC31+AC30+AC29+AC28+AC27+AC26</f>
        <v>0</v>
      </c>
      <c r="AD48" s="33">
        <f t="shared" si="13"/>
        <v>0</v>
      </c>
      <c r="AE48" s="33">
        <f t="shared" si="13"/>
        <v>3631786.15</v>
      </c>
      <c r="AF48" s="33">
        <f>AF47+AF46+AF45+AF44+AF43+AF42+AF41+AF40+AF39+AF38+AF37+AF36+AF35+AF34+AF33+AF32+AF31+AF30+AF29+AF28+AF27+AF26</f>
        <v>10970104</v>
      </c>
      <c r="AG48" s="33">
        <f>AG47+AG46+AG45+AG44+AG43+AG42+AG41+AG40+AG39+AG38+AG37+AG36+AG35+AG34+AG33+AG32+AG31+AG30+AG29+AG28+AG27+AG26</f>
        <v>6521190</v>
      </c>
      <c r="AH48" s="33">
        <f>AH47+AH46+AH45+AH44+AH43+AH42+AH41+AH40+AH39+AH38+AH37+AH36+AH35+AH34+AH33+AH32+AH31+AH30+AH29+AH28+AH27+AH26</f>
        <v>21164400</v>
      </c>
      <c r="AI48" s="33">
        <f>AI47+AI46+AI45+AI44+AI43+AI42+AI41+AI40+AI39+AI38+AI37+AI36+AI35+AI34+AI33+AI32+AI31+AI30+AI29+AI28+AI27+AI26</f>
        <v>2920000</v>
      </c>
      <c r="AJ48" s="33">
        <f t="shared" si="13"/>
        <v>659848.68999999994</v>
      </c>
      <c r="AK48" s="33"/>
      <c r="AL48" s="33">
        <f t="shared" ref="AL48:AT48" si="14">AL47+AL46+AL45+AL44+AL43+AL42+AL41+AL40+AL39+AL38+AL37+AL36+AL35+AL34+AL33+AL32+AL31+AL30+AL29+AL28+AL27+AL26</f>
        <v>0</v>
      </c>
      <c r="AM48" s="33">
        <f t="shared" si="14"/>
        <v>0</v>
      </c>
      <c r="AN48" s="33">
        <f t="shared" si="14"/>
        <v>0</v>
      </c>
      <c r="AO48" s="33">
        <f t="shared" si="14"/>
        <v>0</v>
      </c>
      <c r="AP48" s="33">
        <f t="shared" si="14"/>
        <v>0</v>
      </c>
      <c r="AQ48" s="33"/>
      <c r="AR48" s="33">
        <f t="shared" si="14"/>
        <v>0</v>
      </c>
      <c r="AS48" s="33">
        <f t="shared" si="14"/>
        <v>0</v>
      </c>
      <c r="AT48" s="33">
        <f t="shared" si="14"/>
        <v>0</v>
      </c>
      <c r="AU48" s="33">
        <f t="shared" ref="AU48:BC48" si="15">AU47+AU46+AU45+AU44+AU43+AU42+AU41+AU40+AU39+AU38+AU37+AU36+AU35+AU34+AU33+AU32+AU31+AU30+AU29+AU28+AU27+AU26</f>
        <v>11000000</v>
      </c>
      <c r="AV48" s="33">
        <f t="shared" si="15"/>
        <v>16699034</v>
      </c>
      <c r="AW48" s="33">
        <f t="shared" si="15"/>
        <v>140000</v>
      </c>
      <c r="AX48" s="33">
        <f t="shared" si="15"/>
        <v>0</v>
      </c>
      <c r="AY48" s="33">
        <f t="shared" si="15"/>
        <v>10400</v>
      </c>
      <c r="AZ48" s="33">
        <f t="shared" si="15"/>
        <v>4116000</v>
      </c>
      <c r="BA48" s="33">
        <f t="shared" si="15"/>
        <v>3300000</v>
      </c>
      <c r="BB48" s="33">
        <f t="shared" si="15"/>
        <v>7344992.7999999998</v>
      </c>
      <c r="BC48" s="33">
        <f t="shared" si="15"/>
        <v>1200000</v>
      </c>
      <c r="BD48" s="33">
        <f>BD47+BD46+BD45+BD44+BD43+BD42+BD41+BD40+BD39+BD38+BD37+BD36+BD35+BD34+BD33+BD32+BD31+BD30+BD29+BD28+BD27+BD26</f>
        <v>0</v>
      </c>
      <c r="BE48" s="33">
        <f>BE47+BE46+BE45+BE44+BE43+BE42+BE41+BE40+BE39+BE38+BE37+BE36+BE35+BE34+BE33+BE32+BE31+BE30+BE29+BE28+BE27+BE26</f>
        <v>15508497</v>
      </c>
      <c r="BF48" s="43">
        <f t="shared" si="10"/>
        <v>3057477228.2900004</v>
      </c>
      <c r="BG48" s="33">
        <f t="shared" ref="BG48:BY48" si="16">BG47+BG46+BG45+BG44+BG43+BG42+BG41+BG40+BG39+BG38+BG37+BG36+BG35+BG34+BG33+BG32+BG31+BG30+BG29+BG28+BG27+BG26</f>
        <v>32100</v>
      </c>
      <c r="BH48" s="33">
        <f t="shared" si="16"/>
        <v>0</v>
      </c>
      <c r="BI48" s="33">
        <f t="shared" si="16"/>
        <v>0</v>
      </c>
      <c r="BJ48" s="33">
        <f t="shared" si="16"/>
        <v>261926</v>
      </c>
      <c r="BK48" s="33">
        <f t="shared" si="16"/>
        <v>35400000</v>
      </c>
      <c r="BL48" s="33">
        <f>BL47+BL46+BL45+BL44+BL43+BL42+BL41+BL40+BL39+BL38+BL37+BL36+BL35+BL34+BL33+BL32+BL31+BL30+BL29+BL28+BL27+BL26</f>
        <v>529400</v>
      </c>
      <c r="BM48" s="33">
        <f>BM47+BM46+BM45+BM44+BM43+BM42+BM41+BM40+BM39+BM38+BM37+BM36+BM35+BM34+BM33+BM32+BM31+BM30+BM29+BM28+BM27+BM26</f>
        <v>0</v>
      </c>
      <c r="BN48" s="33">
        <f t="shared" si="16"/>
        <v>0</v>
      </c>
      <c r="BO48" s="33">
        <f t="shared" si="16"/>
        <v>0</v>
      </c>
      <c r="BP48" s="33">
        <f t="shared" si="16"/>
        <v>0</v>
      </c>
      <c r="BQ48" s="33">
        <f t="shared" si="16"/>
        <v>0</v>
      </c>
      <c r="BR48" s="33">
        <f t="shared" si="16"/>
        <v>0</v>
      </c>
      <c r="BS48" s="33">
        <f>BS47+BS46+BS45+BS44+BS43+BS42+BS41+BS40+BS39+BS38+BS37+BS36+BS35+BS34+BS33+BS32+BS31+BS30+BS29+BS28+BS27+BS26</f>
        <v>0</v>
      </c>
      <c r="BT48" s="33"/>
      <c r="BU48" s="33">
        <f>BU47+BU46+BU45+BU44+BU43+BU42+BU41+BU40+BU39+BU38+BU37+BU36+BU35+BU34+BU33+BU32+BU31+BU30+BU29+BU28+BU27+BU26</f>
        <v>0</v>
      </c>
      <c r="BV48" s="33">
        <f>BV47+BV46+BV45+BV44+BV43+BV42+BV41+BV40+BV39+BV38+BV37+BV36+BV35+BV34+BV33+BV32+BV31+BV30+BV29+BV28+BV27+BV26</f>
        <v>53000</v>
      </c>
      <c r="BW48" s="33">
        <f t="shared" si="16"/>
        <v>0</v>
      </c>
      <c r="BX48" s="33">
        <f t="shared" si="16"/>
        <v>0</v>
      </c>
      <c r="BY48" s="33">
        <f t="shared" si="16"/>
        <v>0</v>
      </c>
      <c r="BZ48" s="33">
        <f t="shared" ref="BZ48:CF48" si="17">BZ47+BZ46+BZ45+BZ44+BZ43+BZ42+BZ41+BZ40+BZ39+BZ38+BZ37+BZ36+BZ35+BZ34+BZ33+BZ32+BZ31+BZ30+BZ29+BZ28+BZ27+BZ26</f>
        <v>0</v>
      </c>
      <c r="CA48" s="33">
        <f t="shared" si="17"/>
        <v>0</v>
      </c>
      <c r="CB48" s="33">
        <f t="shared" si="17"/>
        <v>0</v>
      </c>
      <c r="CC48" s="33">
        <f t="shared" si="17"/>
        <v>0</v>
      </c>
      <c r="CD48" s="33">
        <f t="shared" si="17"/>
        <v>4000000</v>
      </c>
      <c r="CE48" s="33">
        <f t="shared" si="17"/>
        <v>0</v>
      </c>
      <c r="CF48" s="33">
        <f t="shared" si="17"/>
        <v>10000000</v>
      </c>
      <c r="CG48" s="33">
        <f>CG47+CG46+CG45+CG44+CG43+CG42+CG41+CG40+CG39+CG38+CG37+CG36+CG35+CG34+CG33+CG32+CG31+CG30+CG29+CG28+CG27+CG26</f>
        <v>10000000</v>
      </c>
      <c r="CH48" s="33">
        <f>CH47+CH46+CH45+CH44+CH43+CH42+CH41+CH40+CH39+CH38+CH37+CH36+CH35+CH34+CH33+CH32+CH31+CH30+CH29+CH28+CH27+CH26</f>
        <v>500000</v>
      </c>
      <c r="CI48" s="43">
        <f t="shared" si="2"/>
        <v>50776426</v>
      </c>
    </row>
    <row r="49" spans="1:87" ht="78" customHeight="1" x14ac:dyDescent="0.8">
      <c r="A49" s="14"/>
      <c r="B49" s="15" t="s">
        <v>93</v>
      </c>
      <c r="C49" s="33"/>
      <c r="D49" s="33"/>
      <c r="E49" s="33"/>
      <c r="F49" s="33"/>
      <c r="G49" s="33"/>
      <c r="H49" s="33"/>
      <c r="I49" s="33"/>
      <c r="J49" s="33"/>
      <c r="K49" s="33"/>
      <c r="L49" s="33"/>
      <c r="M49" s="43">
        <f t="shared" si="1"/>
        <v>0</v>
      </c>
      <c r="N49" s="33"/>
      <c r="O49" s="33"/>
      <c r="P49" s="33"/>
      <c r="Q49" s="33"/>
      <c r="R49" s="33"/>
      <c r="S49" s="33"/>
      <c r="T49" s="33"/>
      <c r="U49" s="43">
        <f t="shared" si="3"/>
        <v>0</v>
      </c>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9"/>
      <c r="AV49" s="33"/>
      <c r="AW49" s="33"/>
      <c r="AX49" s="33"/>
      <c r="AY49" s="33"/>
      <c r="AZ49" s="33"/>
      <c r="BA49" s="33"/>
      <c r="BB49" s="33"/>
      <c r="BC49" s="33"/>
      <c r="BD49" s="43"/>
      <c r="BE49" s="33"/>
      <c r="BF49" s="43">
        <f t="shared" si="10"/>
        <v>0</v>
      </c>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43"/>
      <c r="CF49" s="43"/>
      <c r="CG49" s="43"/>
      <c r="CH49" s="43"/>
      <c r="CI49" s="43">
        <f t="shared" si="2"/>
        <v>0</v>
      </c>
    </row>
    <row r="50" spans="1:87" ht="74.25" customHeight="1" x14ac:dyDescent="0.8">
      <c r="A50" s="14" t="s">
        <v>104</v>
      </c>
      <c r="B50" s="15" t="s">
        <v>95</v>
      </c>
      <c r="C50" s="33"/>
      <c r="D50" s="33"/>
      <c r="E50" s="33"/>
      <c r="F50" s="33"/>
      <c r="G50" s="33"/>
      <c r="H50" s="33"/>
      <c r="I50" s="33"/>
      <c r="J50" s="33"/>
      <c r="K50" s="33"/>
      <c r="L50" s="33"/>
      <c r="M50" s="43">
        <f t="shared" si="1"/>
        <v>0</v>
      </c>
      <c r="N50" s="33"/>
      <c r="O50" s="33"/>
      <c r="P50" s="33"/>
      <c r="Q50" s="33"/>
      <c r="R50" s="33"/>
      <c r="S50" s="33"/>
      <c r="T50" s="33"/>
      <c r="U50" s="43">
        <f t="shared" si="3"/>
        <v>3150461</v>
      </c>
      <c r="V50" s="33"/>
      <c r="W50" s="33"/>
      <c r="X50" s="33"/>
      <c r="Y50" s="33">
        <f>384614+15386-25000</f>
        <v>375000</v>
      </c>
      <c r="Z50" s="33"/>
      <c r="AA50" s="33"/>
      <c r="AB50" s="33"/>
      <c r="AC50" s="33"/>
      <c r="AD50" s="33">
        <v>2775461</v>
      </c>
      <c r="AE50" s="33">
        <f>70488+232823</f>
        <v>303311</v>
      </c>
      <c r="AF50" s="33">
        <f>494487+141216</f>
        <v>635703</v>
      </c>
      <c r="AG50" s="33"/>
      <c r="AH50" s="33">
        <f>145200</f>
        <v>145200</v>
      </c>
      <c r="AI50" s="33"/>
      <c r="AJ50" s="33"/>
      <c r="AK50" s="33"/>
      <c r="AL50" s="33"/>
      <c r="AM50" s="33"/>
      <c r="AN50" s="33"/>
      <c r="AO50" s="33"/>
      <c r="AP50" s="33"/>
      <c r="AQ50" s="33"/>
      <c r="AR50" s="33"/>
      <c r="AS50" s="33"/>
      <c r="AT50" s="33"/>
      <c r="AU50" s="39"/>
      <c r="AV50" s="33">
        <f>110000+20000</f>
        <v>130000</v>
      </c>
      <c r="AW50" s="33"/>
      <c r="AX50" s="33"/>
      <c r="AY50" s="33"/>
      <c r="AZ50" s="33"/>
      <c r="BA50" s="33"/>
      <c r="BB50" s="33"/>
      <c r="BC50" s="33">
        <v>600000</v>
      </c>
      <c r="BD50" s="43"/>
      <c r="BE50" s="33"/>
      <c r="BF50" s="43">
        <f t="shared" si="10"/>
        <v>4964675</v>
      </c>
      <c r="BG50" s="33"/>
      <c r="BH50" s="33"/>
      <c r="BI50" s="33"/>
      <c r="BJ50" s="33"/>
      <c r="BK50" s="33"/>
      <c r="BL50" s="33">
        <v>24000</v>
      </c>
      <c r="BM50" s="33"/>
      <c r="BN50" s="33"/>
      <c r="BO50" s="33"/>
      <c r="BP50" s="33"/>
      <c r="BQ50" s="33"/>
      <c r="BR50" s="33"/>
      <c r="BS50" s="33"/>
      <c r="BT50" s="33"/>
      <c r="BU50" s="33"/>
      <c r="BV50" s="33"/>
      <c r="BW50" s="33"/>
      <c r="BX50" s="33"/>
      <c r="BY50" s="33"/>
      <c r="BZ50" s="33"/>
      <c r="CA50" s="33"/>
      <c r="CB50" s="33"/>
      <c r="CC50" s="33"/>
      <c r="CD50" s="33"/>
      <c r="CE50" s="43"/>
      <c r="CF50" s="43"/>
      <c r="CG50" s="43"/>
      <c r="CH50" s="43"/>
      <c r="CI50" s="43">
        <f t="shared" si="2"/>
        <v>24000</v>
      </c>
    </row>
    <row r="51" spans="1:87" ht="74.25" customHeight="1" x14ac:dyDescent="0.8">
      <c r="A51" s="14" t="s">
        <v>52</v>
      </c>
      <c r="B51" s="15" t="s">
        <v>88</v>
      </c>
      <c r="C51" s="34"/>
      <c r="D51" s="34"/>
      <c r="E51" s="34"/>
      <c r="F51" s="34"/>
      <c r="G51" s="34"/>
      <c r="H51" s="33"/>
      <c r="I51" s="33"/>
      <c r="J51" s="33"/>
      <c r="K51" s="33"/>
      <c r="L51" s="33"/>
      <c r="M51" s="43">
        <f t="shared" si="1"/>
        <v>0</v>
      </c>
      <c r="N51" s="33"/>
      <c r="O51" s="33"/>
      <c r="P51" s="33"/>
      <c r="Q51" s="33"/>
      <c r="R51" s="33"/>
      <c r="S51" s="33"/>
      <c r="T51" s="33"/>
      <c r="U51" s="43">
        <f t="shared" si="3"/>
        <v>558150</v>
      </c>
      <c r="V51" s="33"/>
      <c r="W51" s="33"/>
      <c r="X51" s="33"/>
      <c r="Y51" s="33"/>
      <c r="Z51" s="33"/>
      <c r="AA51" s="33"/>
      <c r="AB51" s="33"/>
      <c r="AC51" s="33"/>
      <c r="AD51" s="33">
        <v>558150</v>
      </c>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43"/>
      <c r="BE51" s="33"/>
      <c r="BF51" s="43">
        <f t="shared" si="10"/>
        <v>558150</v>
      </c>
      <c r="BG51" s="33"/>
      <c r="BH51" s="33"/>
      <c r="BI51" s="33"/>
      <c r="BJ51" s="33"/>
      <c r="BK51" s="33"/>
      <c r="BL51" s="33">
        <f>7000</f>
        <v>7000</v>
      </c>
      <c r="BM51" s="33"/>
      <c r="BN51" s="33"/>
      <c r="BO51" s="33"/>
      <c r="BP51" s="33"/>
      <c r="BQ51" s="33"/>
      <c r="BR51" s="33"/>
      <c r="BS51" s="33"/>
      <c r="BT51" s="33"/>
      <c r="BU51" s="33"/>
      <c r="BV51" s="33"/>
      <c r="BW51" s="33"/>
      <c r="BX51" s="33"/>
      <c r="BY51" s="33"/>
      <c r="BZ51" s="33"/>
      <c r="CA51" s="33"/>
      <c r="CB51" s="33"/>
      <c r="CC51" s="33"/>
      <c r="CD51" s="33"/>
      <c r="CE51" s="43"/>
      <c r="CF51" s="43"/>
      <c r="CG51" s="43"/>
      <c r="CH51" s="43"/>
      <c r="CI51" s="43">
        <f t="shared" si="2"/>
        <v>7000</v>
      </c>
    </row>
    <row r="52" spans="1:87" ht="74.25" customHeight="1" x14ac:dyDescent="0.8">
      <c r="A52" s="14" t="s">
        <v>105</v>
      </c>
      <c r="B52" s="15" t="s">
        <v>96</v>
      </c>
      <c r="C52" s="33"/>
      <c r="D52" s="33"/>
      <c r="E52" s="33"/>
      <c r="F52" s="33"/>
      <c r="G52" s="33"/>
      <c r="H52" s="33"/>
      <c r="I52" s="33"/>
      <c r="J52" s="33"/>
      <c r="K52" s="33"/>
      <c r="L52" s="33"/>
      <c r="M52" s="43">
        <f t="shared" si="1"/>
        <v>0</v>
      </c>
      <c r="N52" s="33"/>
      <c r="O52" s="33"/>
      <c r="P52" s="33"/>
      <c r="Q52" s="33"/>
      <c r="R52" s="33"/>
      <c r="S52" s="33"/>
      <c r="T52" s="33"/>
      <c r="U52" s="43">
        <f t="shared" si="3"/>
        <v>1116651</v>
      </c>
      <c r="V52" s="33"/>
      <c r="W52" s="33"/>
      <c r="X52" s="33"/>
      <c r="Y52" s="33">
        <f>192307+207693-25000</f>
        <v>375000</v>
      </c>
      <c r="Z52" s="33"/>
      <c r="AA52" s="33"/>
      <c r="AB52" s="33"/>
      <c r="AC52" s="33"/>
      <c r="AD52" s="33">
        <v>741651</v>
      </c>
      <c r="AE52" s="33">
        <f>23496+202706</f>
        <v>226202</v>
      </c>
      <c r="AF52" s="33"/>
      <c r="AG52" s="33"/>
      <c r="AH52" s="33"/>
      <c r="AI52" s="33"/>
      <c r="AJ52" s="33"/>
      <c r="AK52" s="33"/>
      <c r="AL52" s="33"/>
      <c r="AM52" s="33"/>
      <c r="AN52" s="33"/>
      <c r="AO52" s="33"/>
      <c r="AP52" s="33"/>
      <c r="AQ52" s="33"/>
      <c r="AR52" s="33"/>
      <c r="AS52" s="33"/>
      <c r="AT52" s="33"/>
      <c r="AU52" s="39"/>
      <c r="AV52" s="33"/>
      <c r="AW52" s="33"/>
      <c r="AX52" s="33"/>
      <c r="AY52" s="33"/>
      <c r="AZ52" s="33"/>
      <c r="BA52" s="33"/>
      <c r="BB52" s="33"/>
      <c r="BC52" s="33"/>
      <c r="BD52" s="43"/>
      <c r="BE52" s="33"/>
      <c r="BF52" s="43">
        <f t="shared" si="10"/>
        <v>1342853</v>
      </c>
      <c r="BG52" s="33"/>
      <c r="BH52" s="33"/>
      <c r="BI52" s="33"/>
      <c r="BJ52" s="33"/>
      <c r="BK52" s="33"/>
      <c r="BL52" s="33">
        <f>8000</f>
        <v>8000</v>
      </c>
      <c r="BM52" s="33"/>
      <c r="BN52" s="33"/>
      <c r="BO52" s="33"/>
      <c r="BP52" s="33"/>
      <c r="BQ52" s="33"/>
      <c r="BR52" s="33"/>
      <c r="BS52" s="33"/>
      <c r="BT52" s="33"/>
      <c r="BU52" s="33"/>
      <c r="BV52" s="33"/>
      <c r="BW52" s="33"/>
      <c r="BX52" s="33"/>
      <c r="BY52" s="33"/>
      <c r="BZ52" s="33"/>
      <c r="CA52" s="33"/>
      <c r="CB52" s="33"/>
      <c r="CC52" s="33"/>
      <c r="CD52" s="33"/>
      <c r="CE52" s="43"/>
      <c r="CF52" s="43"/>
      <c r="CG52" s="43"/>
      <c r="CH52" s="43"/>
      <c r="CI52" s="43">
        <f t="shared" si="2"/>
        <v>8000</v>
      </c>
    </row>
    <row r="53" spans="1:87" ht="74.25" customHeight="1" x14ac:dyDescent="0.8">
      <c r="A53" s="14" t="s">
        <v>106</v>
      </c>
      <c r="B53" s="15" t="s">
        <v>131</v>
      </c>
      <c r="C53" s="33"/>
      <c r="D53" s="33"/>
      <c r="E53" s="33"/>
      <c r="F53" s="33"/>
      <c r="G53" s="33"/>
      <c r="H53" s="33"/>
      <c r="I53" s="33"/>
      <c r="J53" s="33"/>
      <c r="K53" s="33">
        <v>500000</v>
      </c>
      <c r="L53" s="33"/>
      <c r="M53" s="43">
        <f t="shared" si="1"/>
        <v>0</v>
      </c>
      <c r="N53" s="33"/>
      <c r="O53" s="33"/>
      <c r="P53" s="33"/>
      <c r="Q53" s="33"/>
      <c r="R53" s="33"/>
      <c r="S53" s="33"/>
      <c r="T53" s="33"/>
      <c r="U53" s="43">
        <f t="shared" si="3"/>
        <v>502444</v>
      </c>
      <c r="V53" s="33"/>
      <c r="W53" s="33"/>
      <c r="X53" s="33"/>
      <c r="Y53" s="33"/>
      <c r="Z53" s="33"/>
      <c r="AA53" s="33"/>
      <c r="AB53" s="33"/>
      <c r="AC53" s="33"/>
      <c r="AD53" s="33">
        <v>502444</v>
      </c>
      <c r="AE53" s="33"/>
      <c r="AF53" s="33"/>
      <c r="AG53" s="33"/>
      <c r="AH53" s="33"/>
      <c r="AI53" s="33">
        <v>150000</v>
      </c>
      <c r="AJ53" s="33"/>
      <c r="AK53" s="33"/>
      <c r="AL53" s="33"/>
      <c r="AM53" s="33"/>
      <c r="AN53" s="33"/>
      <c r="AO53" s="33"/>
      <c r="AP53" s="33"/>
      <c r="AQ53" s="33"/>
      <c r="AR53" s="33"/>
      <c r="AS53" s="33"/>
      <c r="AT53" s="33"/>
      <c r="AU53" s="39"/>
      <c r="AV53" s="33">
        <v>120000</v>
      </c>
      <c r="AW53" s="33"/>
      <c r="AX53" s="33"/>
      <c r="AY53" s="33"/>
      <c r="AZ53" s="33"/>
      <c r="BA53" s="33"/>
      <c r="BB53" s="33"/>
      <c r="BC53" s="33"/>
      <c r="BD53" s="43">
        <v>400000</v>
      </c>
      <c r="BE53" s="33"/>
      <c r="BF53" s="43">
        <f t="shared" si="10"/>
        <v>1672444</v>
      </c>
      <c r="BG53" s="33"/>
      <c r="BH53" s="33"/>
      <c r="BI53" s="33"/>
      <c r="BJ53" s="33"/>
      <c r="BK53" s="33"/>
      <c r="BL53" s="33">
        <v>4000</v>
      </c>
      <c r="BM53" s="33"/>
      <c r="BN53" s="33"/>
      <c r="BO53" s="33"/>
      <c r="BP53" s="33"/>
      <c r="BQ53" s="33"/>
      <c r="BR53" s="33"/>
      <c r="BS53" s="33"/>
      <c r="BT53" s="33"/>
      <c r="BU53" s="33"/>
      <c r="BV53" s="33"/>
      <c r="BW53" s="33"/>
      <c r="BX53" s="33"/>
      <c r="BY53" s="33"/>
      <c r="BZ53" s="33"/>
      <c r="CA53" s="33"/>
      <c r="CB53" s="33"/>
      <c r="CC53" s="33"/>
      <c r="CD53" s="33"/>
      <c r="CE53" s="43"/>
      <c r="CF53" s="43"/>
      <c r="CG53" s="43"/>
      <c r="CH53" s="43"/>
      <c r="CI53" s="43">
        <f t="shared" si="2"/>
        <v>4000</v>
      </c>
    </row>
    <row r="54" spans="1:87" ht="74.25" customHeight="1" x14ac:dyDescent="0.8">
      <c r="A54" s="14" t="s">
        <v>107</v>
      </c>
      <c r="B54" s="15" t="s">
        <v>132</v>
      </c>
      <c r="C54" s="33"/>
      <c r="D54" s="33"/>
      <c r="E54" s="33"/>
      <c r="F54" s="33"/>
      <c r="G54" s="33"/>
      <c r="H54" s="33"/>
      <c r="I54" s="33"/>
      <c r="J54" s="33"/>
      <c r="K54" s="33">
        <v>500000</v>
      </c>
      <c r="L54" s="33"/>
      <c r="M54" s="43">
        <f t="shared" si="1"/>
        <v>0</v>
      </c>
      <c r="N54" s="33"/>
      <c r="O54" s="33"/>
      <c r="P54" s="33"/>
      <c r="Q54" s="33"/>
      <c r="R54" s="33"/>
      <c r="S54" s="33"/>
      <c r="T54" s="33"/>
      <c r="U54" s="43">
        <f t="shared" si="3"/>
        <v>293821</v>
      </c>
      <c r="V54" s="33"/>
      <c r="W54" s="33"/>
      <c r="X54" s="33"/>
      <c r="Y54" s="33"/>
      <c r="Z54" s="33"/>
      <c r="AA54" s="33"/>
      <c r="AB54" s="33"/>
      <c r="AC54" s="33"/>
      <c r="AD54" s="33">
        <v>293821</v>
      </c>
      <c r="AE54" s="33"/>
      <c r="AF54" s="33"/>
      <c r="AG54" s="33"/>
      <c r="AH54" s="33"/>
      <c r="AI54" s="33"/>
      <c r="AJ54" s="33"/>
      <c r="AK54" s="33"/>
      <c r="AL54" s="33"/>
      <c r="AM54" s="33"/>
      <c r="AN54" s="33"/>
      <c r="AO54" s="33"/>
      <c r="AP54" s="33"/>
      <c r="AQ54" s="33"/>
      <c r="AR54" s="33"/>
      <c r="AS54" s="33"/>
      <c r="AT54" s="33"/>
      <c r="AU54" s="39"/>
      <c r="AV54" s="33">
        <v>50000</v>
      </c>
      <c r="AW54" s="33"/>
      <c r="AX54" s="33"/>
      <c r="AY54" s="33"/>
      <c r="AZ54" s="33"/>
      <c r="BA54" s="33">
        <v>2200000</v>
      </c>
      <c r="BB54" s="33"/>
      <c r="BC54" s="33"/>
      <c r="BD54" s="43"/>
      <c r="BE54" s="33"/>
      <c r="BF54" s="43">
        <f t="shared" si="10"/>
        <v>3043821</v>
      </c>
      <c r="BG54" s="33"/>
      <c r="BH54" s="33"/>
      <c r="BI54" s="33"/>
      <c r="BJ54" s="33"/>
      <c r="BK54" s="33"/>
      <c r="BL54" s="33">
        <f>1000</f>
        <v>1000</v>
      </c>
      <c r="BM54" s="33"/>
      <c r="BN54" s="33"/>
      <c r="BO54" s="33"/>
      <c r="BP54" s="33"/>
      <c r="BQ54" s="33"/>
      <c r="BR54" s="33"/>
      <c r="BS54" s="33"/>
      <c r="BT54" s="33"/>
      <c r="BU54" s="33"/>
      <c r="BV54" s="33"/>
      <c r="BW54" s="33"/>
      <c r="BX54" s="33"/>
      <c r="BY54" s="33"/>
      <c r="BZ54" s="33"/>
      <c r="CA54" s="33"/>
      <c r="CB54" s="33"/>
      <c r="CC54" s="33"/>
      <c r="CD54" s="33"/>
      <c r="CE54" s="43"/>
      <c r="CF54" s="43"/>
      <c r="CG54" s="43"/>
      <c r="CH54" s="43"/>
      <c r="CI54" s="43">
        <f t="shared" si="2"/>
        <v>1000</v>
      </c>
    </row>
    <row r="55" spans="1:87" ht="74.25" customHeight="1" x14ac:dyDescent="0.8">
      <c r="A55" s="14" t="s">
        <v>108</v>
      </c>
      <c r="B55" s="15" t="s">
        <v>97</v>
      </c>
      <c r="C55" s="33"/>
      <c r="D55" s="33"/>
      <c r="E55" s="33"/>
      <c r="F55" s="33"/>
      <c r="G55" s="33"/>
      <c r="H55" s="33"/>
      <c r="I55" s="33"/>
      <c r="J55" s="33"/>
      <c r="K55" s="33"/>
      <c r="L55" s="33"/>
      <c r="M55" s="43">
        <f t="shared" si="1"/>
        <v>0</v>
      </c>
      <c r="N55" s="33"/>
      <c r="O55" s="33"/>
      <c r="P55" s="33"/>
      <c r="Q55" s="33"/>
      <c r="R55" s="33"/>
      <c r="S55" s="33"/>
      <c r="T55" s="33"/>
      <c r="U55" s="43">
        <f t="shared" si="3"/>
        <v>1994485</v>
      </c>
      <c r="V55" s="33"/>
      <c r="W55" s="33"/>
      <c r="X55" s="33"/>
      <c r="Y55" s="33"/>
      <c r="Z55" s="33"/>
      <c r="AA55" s="33"/>
      <c r="AB55" s="33"/>
      <c r="AC55" s="33"/>
      <c r="AD55" s="33">
        <v>1994485</v>
      </c>
      <c r="AE55" s="33"/>
      <c r="AF55" s="33">
        <f>148896+86458+70000</f>
        <v>305354</v>
      </c>
      <c r="AG55" s="33"/>
      <c r="AH55" s="33"/>
      <c r="AI55" s="33"/>
      <c r="AJ55" s="33"/>
      <c r="AK55" s="33"/>
      <c r="AL55" s="33"/>
      <c r="AM55" s="33"/>
      <c r="AN55" s="33"/>
      <c r="AO55" s="33"/>
      <c r="AP55" s="33"/>
      <c r="AQ55" s="33"/>
      <c r="AR55" s="33"/>
      <c r="AS55" s="33"/>
      <c r="AT55" s="33"/>
      <c r="AU55" s="39"/>
      <c r="AV55" s="33">
        <v>500000</v>
      </c>
      <c r="AW55" s="33"/>
      <c r="AX55" s="33"/>
      <c r="AY55" s="33"/>
      <c r="AZ55" s="33"/>
      <c r="BA55" s="33"/>
      <c r="BB55" s="33"/>
      <c r="BC55" s="33"/>
      <c r="BD55" s="43"/>
      <c r="BE55" s="33"/>
      <c r="BF55" s="43">
        <f t="shared" si="10"/>
        <v>2799839</v>
      </c>
      <c r="BG55" s="33"/>
      <c r="BH55" s="33"/>
      <c r="BI55" s="33"/>
      <c r="BJ55" s="33"/>
      <c r="BK55" s="33"/>
      <c r="BL55" s="33">
        <f>21000</f>
        <v>21000</v>
      </c>
      <c r="BM55" s="33"/>
      <c r="BN55" s="33"/>
      <c r="BO55" s="33"/>
      <c r="BP55" s="33"/>
      <c r="BQ55" s="33"/>
      <c r="BR55" s="33"/>
      <c r="BS55" s="33"/>
      <c r="BT55" s="33"/>
      <c r="BU55" s="33"/>
      <c r="BV55" s="33"/>
      <c r="BW55" s="33"/>
      <c r="BX55" s="33"/>
      <c r="BY55" s="33"/>
      <c r="BZ55" s="33"/>
      <c r="CA55" s="33"/>
      <c r="CB55" s="33"/>
      <c r="CC55" s="33"/>
      <c r="CD55" s="33"/>
      <c r="CE55" s="43"/>
      <c r="CF55" s="43"/>
      <c r="CG55" s="43"/>
      <c r="CH55" s="43"/>
      <c r="CI55" s="43">
        <f t="shared" si="2"/>
        <v>21000</v>
      </c>
    </row>
    <row r="56" spans="1:87" ht="74.25" customHeight="1" x14ac:dyDescent="0.8">
      <c r="A56" s="14" t="s">
        <v>109</v>
      </c>
      <c r="B56" s="15" t="s">
        <v>98</v>
      </c>
      <c r="C56" s="33"/>
      <c r="D56" s="33"/>
      <c r="E56" s="33"/>
      <c r="F56" s="33"/>
      <c r="G56" s="33"/>
      <c r="H56" s="33"/>
      <c r="I56" s="33"/>
      <c r="J56" s="33"/>
      <c r="K56" s="33"/>
      <c r="L56" s="33"/>
      <c r="M56" s="43">
        <f t="shared" si="1"/>
        <v>0</v>
      </c>
      <c r="N56" s="33"/>
      <c r="O56" s="33"/>
      <c r="P56" s="33"/>
      <c r="Q56" s="33"/>
      <c r="R56" s="33"/>
      <c r="S56" s="33"/>
      <c r="T56" s="33"/>
      <c r="U56" s="43">
        <f t="shared" si="3"/>
        <v>624778</v>
      </c>
      <c r="V56" s="33"/>
      <c r="W56" s="33"/>
      <c r="X56" s="33"/>
      <c r="Y56" s="33"/>
      <c r="Z56" s="33"/>
      <c r="AA56" s="33"/>
      <c r="AB56" s="33"/>
      <c r="AC56" s="33"/>
      <c r="AD56" s="33">
        <v>624778</v>
      </c>
      <c r="AE56" s="33"/>
      <c r="AF56" s="33">
        <f>24957+39687</f>
        <v>64644</v>
      </c>
      <c r="AG56" s="33"/>
      <c r="AH56" s="33"/>
      <c r="AI56" s="33"/>
      <c r="AJ56" s="33"/>
      <c r="AK56" s="33"/>
      <c r="AL56" s="33"/>
      <c r="AM56" s="33"/>
      <c r="AN56" s="33"/>
      <c r="AO56" s="33"/>
      <c r="AP56" s="33"/>
      <c r="AQ56" s="33"/>
      <c r="AR56" s="33"/>
      <c r="AS56" s="33"/>
      <c r="AT56" s="33"/>
      <c r="AU56" s="39"/>
      <c r="AV56" s="33">
        <v>500000</v>
      </c>
      <c r="AW56" s="33"/>
      <c r="AX56" s="33"/>
      <c r="AY56" s="33"/>
      <c r="AZ56" s="33"/>
      <c r="BA56" s="33"/>
      <c r="BB56" s="33"/>
      <c r="BC56" s="33"/>
      <c r="BD56" s="43"/>
      <c r="BE56" s="33"/>
      <c r="BF56" s="43">
        <f t="shared" si="10"/>
        <v>1189422</v>
      </c>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43"/>
      <c r="CF56" s="43"/>
      <c r="CG56" s="43"/>
      <c r="CH56" s="43"/>
      <c r="CI56" s="43">
        <f t="shared" si="2"/>
        <v>0</v>
      </c>
    </row>
    <row r="57" spans="1:87" ht="74.25" customHeight="1" x14ac:dyDescent="0.8">
      <c r="A57" s="14" t="s">
        <v>110</v>
      </c>
      <c r="B57" s="15" t="s">
        <v>99</v>
      </c>
      <c r="C57" s="33"/>
      <c r="D57" s="33"/>
      <c r="E57" s="33"/>
      <c r="F57" s="33"/>
      <c r="G57" s="33"/>
      <c r="H57" s="33"/>
      <c r="I57" s="33"/>
      <c r="J57" s="33"/>
      <c r="K57" s="33">
        <v>500000</v>
      </c>
      <c r="L57" s="33"/>
      <c r="M57" s="43">
        <f t="shared" si="1"/>
        <v>0</v>
      </c>
      <c r="N57" s="33"/>
      <c r="O57" s="33"/>
      <c r="P57" s="33"/>
      <c r="Q57" s="33"/>
      <c r="R57" s="33"/>
      <c r="S57" s="33"/>
      <c r="T57" s="33"/>
      <c r="U57" s="43">
        <f t="shared" si="3"/>
        <v>220639</v>
      </c>
      <c r="V57" s="33"/>
      <c r="W57" s="33"/>
      <c r="X57" s="33"/>
      <c r="Y57" s="33"/>
      <c r="Z57" s="33"/>
      <c r="AA57" s="33"/>
      <c r="AB57" s="33"/>
      <c r="AC57" s="33"/>
      <c r="AD57" s="33">
        <v>220639</v>
      </c>
      <c r="AE57" s="33"/>
      <c r="AF57" s="33"/>
      <c r="AG57" s="33"/>
      <c r="AH57" s="33"/>
      <c r="AI57" s="33"/>
      <c r="AJ57" s="33"/>
      <c r="AK57" s="33"/>
      <c r="AL57" s="33"/>
      <c r="AM57" s="33"/>
      <c r="AN57" s="33"/>
      <c r="AO57" s="33"/>
      <c r="AP57" s="33"/>
      <c r="AQ57" s="33"/>
      <c r="AR57" s="33"/>
      <c r="AS57" s="33"/>
      <c r="AT57" s="33"/>
      <c r="AU57" s="39"/>
      <c r="AV57" s="33">
        <v>10000</v>
      </c>
      <c r="AW57" s="33"/>
      <c r="AX57" s="33"/>
      <c r="AY57" s="33"/>
      <c r="AZ57" s="33"/>
      <c r="BA57" s="33"/>
      <c r="BB57" s="33">
        <v>400000</v>
      </c>
      <c r="BC57" s="33"/>
      <c r="BD57" s="43"/>
      <c r="BE57" s="33">
        <v>4609000</v>
      </c>
      <c r="BF57" s="43">
        <f t="shared" si="10"/>
        <v>5739639</v>
      </c>
      <c r="BG57" s="33"/>
      <c r="BH57" s="33"/>
      <c r="BI57" s="33"/>
      <c r="BJ57" s="33"/>
      <c r="BK57" s="33"/>
      <c r="BL57" s="33">
        <f>2000</f>
        <v>2000</v>
      </c>
      <c r="BM57" s="33"/>
      <c r="BN57" s="33"/>
      <c r="BO57" s="33"/>
      <c r="BP57" s="33"/>
      <c r="BQ57" s="33"/>
      <c r="BR57" s="33"/>
      <c r="BS57" s="33"/>
      <c r="BT57" s="33"/>
      <c r="BU57" s="33"/>
      <c r="BV57" s="33"/>
      <c r="BW57" s="33"/>
      <c r="BX57" s="33"/>
      <c r="BY57" s="33"/>
      <c r="BZ57" s="33"/>
      <c r="CA57" s="33"/>
      <c r="CB57" s="33"/>
      <c r="CC57" s="33"/>
      <c r="CD57" s="33"/>
      <c r="CE57" s="43"/>
      <c r="CF57" s="43"/>
      <c r="CG57" s="43"/>
      <c r="CH57" s="43"/>
      <c r="CI57" s="43">
        <f t="shared" si="2"/>
        <v>2000</v>
      </c>
    </row>
    <row r="58" spans="1:87" ht="74.25" customHeight="1" x14ac:dyDescent="0.8">
      <c r="A58" s="14" t="s">
        <v>111</v>
      </c>
      <c r="B58" s="15" t="s">
        <v>100</v>
      </c>
      <c r="C58" s="33"/>
      <c r="D58" s="33">
        <v>300000</v>
      </c>
      <c r="E58" s="33"/>
      <c r="F58" s="33"/>
      <c r="G58" s="33"/>
      <c r="H58" s="33"/>
      <c r="I58" s="33"/>
      <c r="J58" s="33"/>
      <c r="K58" s="33"/>
      <c r="L58" s="33"/>
      <c r="M58" s="43">
        <f t="shared" si="1"/>
        <v>0</v>
      </c>
      <c r="N58" s="33"/>
      <c r="O58" s="33"/>
      <c r="P58" s="33"/>
      <c r="Q58" s="33"/>
      <c r="R58" s="33"/>
      <c r="S58" s="33"/>
      <c r="T58" s="33"/>
      <c r="U58" s="43">
        <f t="shared" si="3"/>
        <v>334235</v>
      </c>
      <c r="V58" s="33"/>
      <c r="W58" s="33"/>
      <c r="X58" s="33"/>
      <c r="Y58" s="33"/>
      <c r="Z58" s="33"/>
      <c r="AA58" s="33"/>
      <c r="AB58" s="33"/>
      <c r="AC58" s="33"/>
      <c r="AD58" s="33">
        <v>334235</v>
      </c>
      <c r="AE58" s="33"/>
      <c r="AF58" s="33"/>
      <c r="AG58" s="33"/>
      <c r="AH58" s="33"/>
      <c r="AI58" s="33"/>
      <c r="AJ58" s="33"/>
      <c r="AK58" s="33"/>
      <c r="AL58" s="33"/>
      <c r="AM58" s="33"/>
      <c r="AN58" s="33"/>
      <c r="AO58" s="33"/>
      <c r="AP58" s="33"/>
      <c r="AQ58" s="33"/>
      <c r="AR58" s="33"/>
      <c r="AS58" s="33"/>
      <c r="AT58" s="33"/>
      <c r="AU58" s="33"/>
      <c r="AV58" s="33">
        <v>10000</v>
      </c>
      <c r="AW58" s="33"/>
      <c r="AX58" s="33"/>
      <c r="AY58" s="33"/>
      <c r="AZ58" s="33"/>
      <c r="BA58" s="33"/>
      <c r="BB58" s="33"/>
      <c r="BC58" s="33"/>
      <c r="BD58" s="43"/>
      <c r="BE58" s="33"/>
      <c r="BF58" s="43">
        <f t="shared" si="10"/>
        <v>644235</v>
      </c>
      <c r="BG58" s="33"/>
      <c r="BH58" s="33"/>
      <c r="BI58" s="33"/>
      <c r="BJ58" s="33"/>
      <c r="BK58" s="33"/>
      <c r="BL58" s="33">
        <f>4000</f>
        <v>4000</v>
      </c>
      <c r="BM58" s="33"/>
      <c r="BN58" s="33"/>
      <c r="BO58" s="33"/>
      <c r="BP58" s="33"/>
      <c r="BQ58" s="33"/>
      <c r="BR58" s="33"/>
      <c r="BS58" s="33"/>
      <c r="BT58" s="33"/>
      <c r="BU58" s="33"/>
      <c r="BV58" s="33"/>
      <c r="BW58" s="33"/>
      <c r="BX58" s="33"/>
      <c r="BY58" s="33"/>
      <c r="BZ58" s="33"/>
      <c r="CA58" s="33"/>
      <c r="CB58" s="33"/>
      <c r="CC58" s="33"/>
      <c r="CD58" s="33"/>
      <c r="CE58" s="43"/>
      <c r="CF58" s="43"/>
      <c r="CG58" s="43"/>
      <c r="CH58" s="43"/>
      <c r="CI58" s="43">
        <f t="shared" si="2"/>
        <v>4000</v>
      </c>
    </row>
    <row r="59" spans="1:87" ht="74.25" customHeight="1" x14ac:dyDescent="0.8">
      <c r="A59" s="14" t="s">
        <v>112</v>
      </c>
      <c r="B59" s="15" t="s">
        <v>101</v>
      </c>
      <c r="C59" s="33"/>
      <c r="D59" s="33"/>
      <c r="E59" s="33"/>
      <c r="F59" s="33"/>
      <c r="G59" s="33"/>
      <c r="H59" s="33"/>
      <c r="I59" s="33"/>
      <c r="J59" s="33"/>
      <c r="K59" s="33">
        <v>500000</v>
      </c>
      <c r="L59" s="33"/>
      <c r="M59" s="43">
        <f t="shared" si="1"/>
        <v>0</v>
      </c>
      <c r="N59" s="33"/>
      <c r="O59" s="33"/>
      <c r="P59" s="33"/>
      <c r="Q59" s="33"/>
      <c r="R59" s="33"/>
      <c r="S59" s="33"/>
      <c r="T59" s="33"/>
      <c r="U59" s="43">
        <f t="shared" si="3"/>
        <v>535212</v>
      </c>
      <c r="V59" s="33"/>
      <c r="W59" s="33"/>
      <c r="X59" s="33"/>
      <c r="Y59" s="33"/>
      <c r="Z59" s="33"/>
      <c r="AA59" s="33"/>
      <c r="AB59" s="33"/>
      <c r="AC59" s="33"/>
      <c r="AD59" s="33">
        <v>535212</v>
      </c>
      <c r="AE59" s="33"/>
      <c r="AF59" s="33"/>
      <c r="AG59" s="33"/>
      <c r="AH59" s="33"/>
      <c r="AI59" s="33"/>
      <c r="AJ59" s="33"/>
      <c r="AK59" s="33"/>
      <c r="AL59" s="33"/>
      <c r="AM59" s="33"/>
      <c r="AN59" s="33"/>
      <c r="AO59" s="33"/>
      <c r="AP59" s="33"/>
      <c r="AQ59" s="33"/>
      <c r="AR59" s="33"/>
      <c r="AS59" s="33"/>
      <c r="AT59" s="33"/>
      <c r="AU59" s="39"/>
      <c r="AV59" s="33">
        <f>40000-25000</f>
        <v>15000</v>
      </c>
      <c r="AW59" s="33"/>
      <c r="AX59" s="33"/>
      <c r="AY59" s="33"/>
      <c r="AZ59" s="33"/>
      <c r="BA59" s="33"/>
      <c r="BB59" s="33"/>
      <c r="BC59" s="33"/>
      <c r="BD59" s="43"/>
      <c r="BE59" s="33"/>
      <c r="BF59" s="43">
        <f t="shared" si="10"/>
        <v>1050212</v>
      </c>
      <c r="BG59" s="33"/>
      <c r="BH59" s="33"/>
      <c r="BI59" s="33"/>
      <c r="BJ59" s="33"/>
      <c r="BK59" s="33"/>
      <c r="BL59" s="33">
        <f>5000</f>
        <v>5000</v>
      </c>
      <c r="BM59" s="33"/>
      <c r="BN59" s="33"/>
      <c r="BO59" s="33"/>
      <c r="BP59" s="33"/>
      <c r="BQ59" s="33"/>
      <c r="BR59" s="33"/>
      <c r="BS59" s="33"/>
      <c r="BT59" s="33"/>
      <c r="BU59" s="33"/>
      <c r="BV59" s="33"/>
      <c r="BW59" s="33"/>
      <c r="BX59" s="33"/>
      <c r="BY59" s="33"/>
      <c r="BZ59" s="33"/>
      <c r="CA59" s="33"/>
      <c r="CB59" s="33"/>
      <c r="CC59" s="33"/>
      <c r="CD59" s="33"/>
      <c r="CE59" s="43"/>
      <c r="CF59" s="43"/>
      <c r="CG59" s="43"/>
      <c r="CH59" s="43"/>
      <c r="CI59" s="43">
        <f t="shared" si="2"/>
        <v>5000</v>
      </c>
    </row>
    <row r="60" spans="1:87" ht="74.25" customHeight="1" x14ac:dyDescent="0.8">
      <c r="A60" s="14" t="s">
        <v>15</v>
      </c>
      <c r="B60" s="15" t="s">
        <v>87</v>
      </c>
      <c r="C60" s="34"/>
      <c r="D60" s="34"/>
      <c r="E60" s="34"/>
      <c r="F60" s="34"/>
      <c r="G60" s="34"/>
      <c r="H60" s="33"/>
      <c r="I60" s="33"/>
      <c r="J60" s="33"/>
      <c r="K60" s="33">
        <v>500000</v>
      </c>
      <c r="L60" s="33"/>
      <c r="M60" s="43">
        <f t="shared" si="1"/>
        <v>0</v>
      </c>
      <c r="N60" s="33"/>
      <c r="O60" s="33"/>
      <c r="P60" s="33"/>
      <c r="Q60" s="33"/>
      <c r="R60" s="33"/>
      <c r="S60" s="33"/>
      <c r="T60" s="33"/>
      <c r="U60" s="43">
        <f t="shared" si="3"/>
        <v>655362</v>
      </c>
      <c r="V60" s="33">
        <f>150000-150000</f>
        <v>0</v>
      </c>
      <c r="W60" s="33"/>
      <c r="X60" s="33"/>
      <c r="Y60" s="33">
        <f>192307-192307</f>
        <v>0</v>
      </c>
      <c r="Z60" s="33"/>
      <c r="AA60" s="33"/>
      <c r="AB60" s="33"/>
      <c r="AC60" s="33"/>
      <c r="AD60" s="33">
        <v>655362</v>
      </c>
      <c r="AE60" s="33">
        <f>53613-53613</f>
        <v>0</v>
      </c>
      <c r="AF60" s="33">
        <f>105344+42462-42462</f>
        <v>105344</v>
      </c>
      <c r="AG60" s="33"/>
      <c r="AH60" s="33"/>
      <c r="AI60" s="33"/>
      <c r="AJ60" s="33"/>
      <c r="AK60" s="33"/>
      <c r="AL60" s="33"/>
      <c r="AM60" s="33"/>
      <c r="AN60" s="33"/>
      <c r="AO60" s="33"/>
      <c r="AP60" s="33"/>
      <c r="AQ60" s="33"/>
      <c r="AR60" s="33"/>
      <c r="AS60" s="33"/>
      <c r="AT60" s="33"/>
      <c r="AU60" s="33"/>
      <c r="AV60" s="33">
        <v>270000</v>
      </c>
      <c r="AW60" s="33"/>
      <c r="AX60" s="33"/>
      <c r="AY60" s="33"/>
      <c r="AZ60" s="33"/>
      <c r="BA60" s="33"/>
      <c r="BB60" s="33"/>
      <c r="BC60" s="33"/>
      <c r="BD60" s="43"/>
      <c r="BE60" s="33">
        <f>1486900</f>
        <v>1486900</v>
      </c>
      <c r="BF60" s="43">
        <f t="shared" si="10"/>
        <v>3017606</v>
      </c>
      <c r="BG60" s="33"/>
      <c r="BH60" s="33"/>
      <c r="BI60" s="33"/>
      <c r="BJ60" s="33"/>
      <c r="BK60" s="33"/>
      <c r="BL60" s="33">
        <f>11410</f>
        <v>11410</v>
      </c>
      <c r="BM60" s="33"/>
      <c r="BN60" s="33"/>
      <c r="BO60" s="33"/>
      <c r="BP60" s="33"/>
      <c r="BQ60" s="33"/>
      <c r="BR60" s="33"/>
      <c r="BS60" s="33"/>
      <c r="BT60" s="33"/>
      <c r="BU60" s="33"/>
      <c r="BV60" s="33"/>
      <c r="BW60" s="33"/>
      <c r="BX60" s="33"/>
      <c r="BY60" s="33"/>
      <c r="BZ60" s="33"/>
      <c r="CA60" s="33"/>
      <c r="CB60" s="33"/>
      <c r="CC60" s="33"/>
      <c r="CD60" s="33"/>
      <c r="CE60" s="43"/>
      <c r="CF60" s="43"/>
      <c r="CG60" s="43"/>
      <c r="CH60" s="43"/>
      <c r="CI60" s="43">
        <f t="shared" si="2"/>
        <v>11410</v>
      </c>
    </row>
    <row r="61" spans="1:87" ht="74.25" customHeight="1" x14ac:dyDescent="0.8">
      <c r="A61" s="14" t="s">
        <v>113</v>
      </c>
      <c r="B61" s="15" t="s">
        <v>102</v>
      </c>
      <c r="C61" s="33"/>
      <c r="D61" s="33"/>
      <c r="E61" s="33"/>
      <c r="F61" s="33"/>
      <c r="G61" s="33"/>
      <c r="H61" s="33"/>
      <c r="I61" s="33"/>
      <c r="J61" s="33">
        <v>305637</v>
      </c>
      <c r="K61" s="33"/>
      <c r="L61" s="33"/>
      <c r="M61" s="43">
        <f t="shared" si="1"/>
        <v>0</v>
      </c>
      <c r="N61" s="33"/>
      <c r="O61" s="33"/>
      <c r="P61" s="33"/>
      <c r="Q61" s="33"/>
      <c r="R61" s="33"/>
      <c r="S61" s="33"/>
      <c r="T61" s="33"/>
      <c r="U61" s="43">
        <f t="shared" si="3"/>
        <v>385571</v>
      </c>
      <c r="V61" s="33"/>
      <c r="W61" s="33"/>
      <c r="X61" s="33"/>
      <c r="Y61" s="33"/>
      <c r="Z61" s="33"/>
      <c r="AA61" s="33"/>
      <c r="AB61" s="33"/>
      <c r="AC61" s="33"/>
      <c r="AD61" s="33">
        <v>385571</v>
      </c>
      <c r="AE61" s="33"/>
      <c r="AF61" s="33"/>
      <c r="AG61" s="33"/>
      <c r="AH61" s="33"/>
      <c r="AI61" s="33"/>
      <c r="AJ61" s="33"/>
      <c r="AK61" s="33"/>
      <c r="AL61" s="33"/>
      <c r="AM61" s="33"/>
      <c r="AN61" s="33"/>
      <c r="AO61" s="33"/>
      <c r="AP61" s="33"/>
      <c r="AQ61" s="33"/>
      <c r="AR61" s="33"/>
      <c r="AS61" s="33"/>
      <c r="AT61" s="33"/>
      <c r="AU61" s="39"/>
      <c r="AV61" s="33">
        <v>40000</v>
      </c>
      <c r="AW61" s="33"/>
      <c r="AX61" s="33"/>
      <c r="AY61" s="33"/>
      <c r="AZ61" s="33"/>
      <c r="BA61" s="33"/>
      <c r="BB61" s="33"/>
      <c r="BC61" s="33"/>
      <c r="BD61" s="43"/>
      <c r="BE61" s="33">
        <f>1036827</f>
        <v>1036827</v>
      </c>
      <c r="BF61" s="43">
        <f t="shared" si="10"/>
        <v>1768035</v>
      </c>
      <c r="BG61" s="33"/>
      <c r="BH61" s="33"/>
      <c r="BI61" s="33"/>
      <c r="BJ61" s="33"/>
      <c r="BK61" s="33"/>
      <c r="BL61" s="33">
        <f>4000</f>
        <v>4000</v>
      </c>
      <c r="BM61" s="33"/>
      <c r="BN61" s="33"/>
      <c r="BO61" s="33"/>
      <c r="BP61" s="33"/>
      <c r="BQ61" s="33"/>
      <c r="BR61" s="33"/>
      <c r="BS61" s="33"/>
      <c r="BT61" s="33"/>
      <c r="BU61" s="33"/>
      <c r="BV61" s="33"/>
      <c r="BW61" s="33"/>
      <c r="BX61" s="33"/>
      <c r="BY61" s="33"/>
      <c r="BZ61" s="33"/>
      <c r="CA61" s="33"/>
      <c r="CB61" s="33"/>
      <c r="CC61" s="33"/>
      <c r="CD61" s="33"/>
      <c r="CE61" s="43"/>
      <c r="CF61" s="43"/>
      <c r="CG61" s="43"/>
      <c r="CH61" s="43"/>
      <c r="CI61" s="43">
        <f t="shared" si="2"/>
        <v>4000</v>
      </c>
    </row>
    <row r="62" spans="1:87" ht="74.25" customHeight="1" x14ac:dyDescent="0.8">
      <c r="A62" s="14" t="s">
        <v>114</v>
      </c>
      <c r="B62" s="15" t="s">
        <v>103</v>
      </c>
      <c r="C62" s="33"/>
      <c r="D62" s="33"/>
      <c r="E62" s="33"/>
      <c r="F62" s="33"/>
      <c r="G62" s="33"/>
      <c r="H62" s="33"/>
      <c r="I62" s="33"/>
      <c r="J62" s="33"/>
      <c r="K62" s="33"/>
      <c r="L62" s="33"/>
      <c r="M62" s="43">
        <f t="shared" si="1"/>
        <v>0</v>
      </c>
      <c r="N62" s="33"/>
      <c r="O62" s="33"/>
      <c r="P62" s="33"/>
      <c r="Q62" s="33"/>
      <c r="R62" s="33"/>
      <c r="S62" s="33"/>
      <c r="T62" s="33"/>
      <c r="U62" s="43">
        <f t="shared" si="3"/>
        <v>8739917</v>
      </c>
      <c r="V62" s="33"/>
      <c r="W62" s="33"/>
      <c r="X62" s="33">
        <f>706290</f>
        <v>706290</v>
      </c>
      <c r="Y62" s="33">
        <f>192307-192307</f>
        <v>0</v>
      </c>
      <c r="Z62" s="33">
        <v>6500080</v>
      </c>
      <c r="AA62" s="33"/>
      <c r="AB62" s="33"/>
      <c r="AC62" s="33"/>
      <c r="AD62" s="33">
        <v>1533547</v>
      </c>
      <c r="AE62" s="33">
        <f>23496+53613</f>
        <v>77109</v>
      </c>
      <c r="AF62" s="33"/>
      <c r="AG62" s="33"/>
      <c r="AH62" s="33"/>
      <c r="AI62" s="33">
        <v>80000</v>
      </c>
      <c r="AJ62" s="33"/>
      <c r="AK62" s="33"/>
      <c r="AL62" s="33"/>
      <c r="AM62" s="33"/>
      <c r="AN62" s="33"/>
      <c r="AO62" s="33"/>
      <c r="AP62" s="33"/>
      <c r="AQ62" s="33"/>
      <c r="AR62" s="33"/>
      <c r="AS62" s="33"/>
      <c r="AT62" s="33"/>
      <c r="AU62" s="39"/>
      <c r="AV62" s="33"/>
      <c r="AW62" s="33"/>
      <c r="AX62" s="33"/>
      <c r="AY62" s="33"/>
      <c r="AZ62" s="33"/>
      <c r="BA62" s="33"/>
      <c r="BB62" s="33"/>
      <c r="BC62" s="33"/>
      <c r="BD62" s="43"/>
      <c r="BE62" s="33"/>
      <c r="BF62" s="43">
        <f t="shared" si="10"/>
        <v>8897026</v>
      </c>
      <c r="BG62" s="33"/>
      <c r="BH62" s="33"/>
      <c r="BI62" s="33"/>
      <c r="BJ62" s="33"/>
      <c r="BK62" s="33"/>
      <c r="BL62" s="33">
        <v>14000</v>
      </c>
      <c r="BM62" s="33"/>
      <c r="BN62" s="33"/>
      <c r="BO62" s="33"/>
      <c r="BP62" s="33"/>
      <c r="BQ62" s="33"/>
      <c r="BR62" s="33"/>
      <c r="BS62" s="33"/>
      <c r="BT62" s="33"/>
      <c r="BU62" s="33"/>
      <c r="BV62" s="33"/>
      <c r="BW62" s="33"/>
      <c r="BX62" s="33"/>
      <c r="BY62" s="33"/>
      <c r="BZ62" s="33"/>
      <c r="CA62" s="33"/>
      <c r="CB62" s="33"/>
      <c r="CC62" s="33"/>
      <c r="CD62" s="33">
        <f>2000000</f>
        <v>2000000</v>
      </c>
      <c r="CE62" s="43"/>
      <c r="CF62" s="43"/>
      <c r="CG62" s="43"/>
      <c r="CH62" s="43"/>
      <c r="CI62" s="43">
        <f t="shared" si="2"/>
        <v>2014000</v>
      </c>
    </row>
    <row r="63" spans="1:87" ht="74.25" customHeight="1" x14ac:dyDescent="0.8">
      <c r="A63" s="14" t="s">
        <v>16</v>
      </c>
      <c r="B63" s="15" t="s">
        <v>89</v>
      </c>
      <c r="C63" s="34"/>
      <c r="D63" s="34"/>
      <c r="E63" s="34"/>
      <c r="F63" s="34"/>
      <c r="G63" s="34"/>
      <c r="H63" s="33"/>
      <c r="I63" s="33"/>
      <c r="J63" s="33"/>
      <c r="K63" s="33"/>
      <c r="L63" s="33"/>
      <c r="M63" s="43">
        <f t="shared" si="1"/>
        <v>0</v>
      </c>
      <c r="N63" s="33"/>
      <c r="O63" s="33"/>
      <c r="P63" s="33"/>
      <c r="Q63" s="33"/>
      <c r="R63" s="33"/>
      <c r="S63" s="33"/>
      <c r="T63" s="33"/>
      <c r="U63" s="43">
        <f t="shared" si="3"/>
        <v>538489</v>
      </c>
      <c r="V63" s="33"/>
      <c r="W63" s="33"/>
      <c r="X63" s="33"/>
      <c r="Y63" s="33"/>
      <c r="Z63" s="33"/>
      <c r="AA63" s="33"/>
      <c r="AB63" s="33"/>
      <c r="AC63" s="33"/>
      <c r="AD63" s="33">
        <v>538489</v>
      </c>
      <c r="AE63" s="33"/>
      <c r="AF63" s="33">
        <f>127548+51024</f>
        <v>178572</v>
      </c>
      <c r="AG63" s="33"/>
      <c r="AH63" s="33"/>
      <c r="AI63" s="33"/>
      <c r="AJ63" s="33"/>
      <c r="AK63" s="33"/>
      <c r="AL63" s="33"/>
      <c r="AM63" s="33"/>
      <c r="AN63" s="33"/>
      <c r="AO63" s="33"/>
      <c r="AP63" s="33"/>
      <c r="AQ63" s="33"/>
      <c r="AR63" s="33"/>
      <c r="AS63" s="33"/>
      <c r="AT63" s="33"/>
      <c r="AU63" s="33"/>
      <c r="AV63" s="33">
        <v>250000</v>
      </c>
      <c r="AW63" s="33"/>
      <c r="AX63" s="33"/>
      <c r="AY63" s="33"/>
      <c r="AZ63" s="33"/>
      <c r="BA63" s="33"/>
      <c r="BB63" s="33"/>
      <c r="BC63" s="33"/>
      <c r="BD63" s="43"/>
      <c r="BE63" s="33">
        <v>1213000</v>
      </c>
      <c r="BF63" s="43">
        <f t="shared" si="10"/>
        <v>2180061</v>
      </c>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43"/>
      <c r="CF63" s="43"/>
      <c r="CG63" s="43"/>
      <c r="CH63" s="43"/>
      <c r="CI63" s="43">
        <f t="shared" si="2"/>
        <v>0</v>
      </c>
    </row>
    <row r="64" spans="1:87" ht="74.25" customHeight="1" x14ac:dyDescent="0.8">
      <c r="A64" s="14" t="s">
        <v>94</v>
      </c>
      <c r="B64" s="15" t="s">
        <v>117</v>
      </c>
      <c r="C64" s="34"/>
      <c r="D64" s="34"/>
      <c r="E64" s="34"/>
      <c r="F64" s="34"/>
      <c r="G64" s="34"/>
      <c r="H64" s="33"/>
      <c r="I64" s="33"/>
      <c r="J64" s="33"/>
      <c r="K64" s="33">
        <v>500000</v>
      </c>
      <c r="L64" s="33"/>
      <c r="M64" s="43">
        <f t="shared" si="1"/>
        <v>0</v>
      </c>
      <c r="N64" s="33"/>
      <c r="O64" s="33"/>
      <c r="P64" s="33"/>
      <c r="Q64" s="33"/>
      <c r="R64" s="33"/>
      <c r="S64" s="33"/>
      <c r="T64" s="33"/>
      <c r="U64" s="43">
        <f t="shared" si="3"/>
        <v>1619836</v>
      </c>
      <c r="V64" s="33"/>
      <c r="W64" s="33"/>
      <c r="X64" s="33"/>
      <c r="Y64" s="33"/>
      <c r="Z64" s="33"/>
      <c r="AA64" s="33"/>
      <c r="AB64" s="33"/>
      <c r="AC64" s="33"/>
      <c r="AD64" s="33">
        <v>1619836</v>
      </c>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43"/>
      <c r="BE64" s="33"/>
      <c r="BF64" s="43">
        <f t="shared" si="10"/>
        <v>2119836</v>
      </c>
      <c r="BG64" s="33"/>
      <c r="BH64" s="33"/>
      <c r="BI64" s="33"/>
      <c r="BJ64" s="33"/>
      <c r="BK64" s="33">
        <f>21000000+313000+12000000+30000000</f>
        <v>63313000</v>
      </c>
      <c r="BL64" s="33">
        <f>14000</f>
        <v>14000</v>
      </c>
      <c r="BM64" s="33"/>
      <c r="BN64" s="33"/>
      <c r="BO64" s="33"/>
      <c r="BP64" s="33"/>
      <c r="BQ64" s="33"/>
      <c r="BR64" s="33"/>
      <c r="BS64" s="33"/>
      <c r="BT64" s="33"/>
      <c r="BU64" s="33"/>
      <c r="BV64" s="33"/>
      <c r="BW64" s="33"/>
      <c r="BX64" s="33"/>
      <c r="BY64" s="33"/>
      <c r="BZ64" s="33"/>
      <c r="CA64" s="33"/>
      <c r="CB64" s="33"/>
      <c r="CC64" s="33"/>
      <c r="CD64" s="33"/>
      <c r="CE64" s="43">
        <v>2000000</v>
      </c>
      <c r="CF64" s="43"/>
      <c r="CG64" s="43"/>
      <c r="CH64" s="43"/>
      <c r="CI64" s="43">
        <f t="shared" si="2"/>
        <v>65327000</v>
      </c>
    </row>
    <row r="65" spans="1:87" ht="74.25" customHeight="1" x14ac:dyDescent="0.8">
      <c r="A65" s="14" t="s">
        <v>167</v>
      </c>
      <c r="B65" s="15" t="s">
        <v>164</v>
      </c>
      <c r="C65" s="33"/>
      <c r="D65" s="33"/>
      <c r="E65" s="33"/>
      <c r="F65" s="33"/>
      <c r="G65" s="33"/>
      <c r="H65" s="33"/>
      <c r="I65" s="33"/>
      <c r="J65" s="33"/>
      <c r="K65" s="33"/>
      <c r="L65" s="33"/>
      <c r="M65" s="43">
        <f t="shared" si="1"/>
        <v>0</v>
      </c>
      <c r="N65" s="33"/>
      <c r="O65" s="33"/>
      <c r="P65" s="33"/>
      <c r="Q65" s="33"/>
      <c r="R65" s="33"/>
      <c r="S65" s="33"/>
      <c r="T65" s="33"/>
      <c r="U65" s="43">
        <f t="shared" si="3"/>
        <v>325416</v>
      </c>
      <c r="V65" s="33"/>
      <c r="W65" s="33"/>
      <c r="X65" s="33"/>
      <c r="Y65" s="33"/>
      <c r="Z65" s="33"/>
      <c r="AA65" s="33">
        <v>325416</v>
      </c>
      <c r="AB65" s="33"/>
      <c r="AC65" s="33"/>
      <c r="AD65" s="33"/>
      <c r="AE65" s="33"/>
      <c r="AF65" s="33"/>
      <c r="AG65" s="33"/>
      <c r="AH65" s="33"/>
      <c r="AI65" s="33">
        <v>60000</v>
      </c>
      <c r="AJ65" s="33"/>
      <c r="AK65" s="33"/>
      <c r="AL65" s="33"/>
      <c r="AM65" s="33"/>
      <c r="AN65" s="33"/>
      <c r="AO65" s="33"/>
      <c r="AP65" s="33"/>
      <c r="AQ65" s="33"/>
      <c r="AR65" s="33"/>
      <c r="AS65" s="33"/>
      <c r="AT65" s="33"/>
      <c r="AU65" s="39"/>
      <c r="AV65" s="33">
        <v>25800</v>
      </c>
      <c r="AW65" s="33"/>
      <c r="AX65" s="33"/>
      <c r="AY65" s="33"/>
      <c r="AZ65" s="33"/>
      <c r="BA65" s="33">
        <v>500000</v>
      </c>
      <c r="BB65" s="33">
        <v>700000</v>
      </c>
      <c r="BC65" s="33"/>
      <c r="BD65" s="43"/>
      <c r="BE65" s="33"/>
      <c r="BF65" s="43">
        <f t="shared" si="10"/>
        <v>1611216</v>
      </c>
      <c r="BG65" s="33"/>
      <c r="BH65" s="33"/>
      <c r="BI65" s="33"/>
      <c r="BJ65" s="33"/>
      <c r="BK65" s="33"/>
      <c r="BL65" s="33">
        <f>4000</f>
        <v>4000</v>
      </c>
      <c r="BM65" s="33"/>
      <c r="BN65" s="33"/>
      <c r="BO65" s="33"/>
      <c r="BP65" s="33"/>
      <c r="BQ65" s="33"/>
      <c r="BR65" s="33"/>
      <c r="BS65" s="33"/>
      <c r="BT65" s="33"/>
      <c r="BU65" s="33"/>
      <c r="BV65" s="33"/>
      <c r="BW65" s="33"/>
      <c r="BX65" s="33"/>
      <c r="BY65" s="33"/>
      <c r="BZ65" s="33"/>
      <c r="CA65" s="33"/>
      <c r="CB65" s="33"/>
      <c r="CC65" s="33"/>
      <c r="CD65" s="33"/>
      <c r="CE65" s="43"/>
      <c r="CF65" s="43"/>
      <c r="CG65" s="43"/>
      <c r="CH65" s="43"/>
      <c r="CI65" s="43">
        <f t="shared" si="2"/>
        <v>4000</v>
      </c>
    </row>
    <row r="66" spans="1:87" ht="74.25" customHeight="1" x14ac:dyDescent="0.8">
      <c r="A66" s="14" t="s">
        <v>179</v>
      </c>
      <c r="B66" s="15" t="s">
        <v>180</v>
      </c>
      <c r="C66" s="33"/>
      <c r="D66" s="33"/>
      <c r="E66" s="33"/>
      <c r="F66" s="33"/>
      <c r="G66" s="33"/>
      <c r="H66" s="33"/>
      <c r="I66" s="33"/>
      <c r="J66" s="33">
        <f>100000+150000</f>
        <v>250000</v>
      </c>
      <c r="K66" s="33"/>
      <c r="L66" s="33"/>
      <c r="M66" s="43">
        <f t="shared" si="1"/>
        <v>0</v>
      </c>
      <c r="N66" s="33"/>
      <c r="O66" s="33"/>
      <c r="P66" s="33"/>
      <c r="Q66" s="33"/>
      <c r="R66" s="33"/>
      <c r="S66" s="33"/>
      <c r="T66" s="33"/>
      <c r="U66" s="43">
        <f t="shared" si="3"/>
        <v>428170</v>
      </c>
      <c r="V66" s="33"/>
      <c r="W66" s="33"/>
      <c r="X66" s="33"/>
      <c r="Y66" s="33"/>
      <c r="Z66" s="33"/>
      <c r="AA66" s="33"/>
      <c r="AB66" s="33"/>
      <c r="AC66" s="33"/>
      <c r="AD66" s="33">
        <v>428170</v>
      </c>
      <c r="AE66" s="33"/>
      <c r="AF66" s="33"/>
      <c r="AG66" s="33"/>
      <c r="AH66" s="33"/>
      <c r="AI66" s="33">
        <v>500000</v>
      </c>
      <c r="AJ66" s="33"/>
      <c r="AK66" s="33"/>
      <c r="AL66" s="33"/>
      <c r="AM66" s="33"/>
      <c r="AN66" s="33"/>
      <c r="AO66" s="33"/>
      <c r="AP66" s="33"/>
      <c r="AQ66" s="33"/>
      <c r="AR66" s="33"/>
      <c r="AS66" s="33"/>
      <c r="AT66" s="33"/>
      <c r="AU66" s="39"/>
      <c r="AV66" s="33">
        <v>15000</v>
      </c>
      <c r="AW66" s="33"/>
      <c r="AX66" s="33"/>
      <c r="AY66" s="33"/>
      <c r="AZ66" s="33"/>
      <c r="BA66" s="33"/>
      <c r="BB66" s="33"/>
      <c r="BC66" s="33"/>
      <c r="BD66" s="43"/>
      <c r="BE66" s="33"/>
      <c r="BF66" s="43">
        <f t="shared" si="10"/>
        <v>1193170</v>
      </c>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43"/>
      <c r="CF66" s="43"/>
      <c r="CG66" s="43"/>
      <c r="CH66" s="43"/>
      <c r="CI66" s="43">
        <f t="shared" si="2"/>
        <v>0</v>
      </c>
    </row>
    <row r="67" spans="1:87" ht="74.25" customHeight="1" x14ac:dyDescent="0.8">
      <c r="A67" s="14" t="s">
        <v>181</v>
      </c>
      <c r="B67" s="15" t="s">
        <v>182</v>
      </c>
      <c r="C67" s="33"/>
      <c r="D67" s="33"/>
      <c r="E67" s="33"/>
      <c r="F67" s="33"/>
      <c r="G67" s="33"/>
      <c r="H67" s="33"/>
      <c r="I67" s="33"/>
      <c r="J67" s="33">
        <f>1018155</f>
        <v>1018155</v>
      </c>
      <c r="K67" s="33"/>
      <c r="L67" s="33"/>
      <c r="M67" s="43">
        <f t="shared" si="1"/>
        <v>0</v>
      </c>
      <c r="N67" s="33"/>
      <c r="O67" s="33"/>
      <c r="P67" s="33"/>
      <c r="Q67" s="33"/>
      <c r="R67" s="33"/>
      <c r="S67" s="33"/>
      <c r="T67" s="33"/>
      <c r="U67" s="43">
        <f t="shared" si="3"/>
        <v>1322018</v>
      </c>
      <c r="V67" s="33"/>
      <c r="W67" s="33"/>
      <c r="X67" s="33"/>
      <c r="Y67" s="33"/>
      <c r="Z67" s="33">
        <f>703793</f>
        <v>703793</v>
      </c>
      <c r="AA67" s="33"/>
      <c r="AB67" s="33"/>
      <c r="AC67" s="33"/>
      <c r="AD67" s="33">
        <v>618225</v>
      </c>
      <c r="AE67" s="33"/>
      <c r="AF67" s="33">
        <f>26856</f>
        <v>26856</v>
      </c>
      <c r="AG67" s="33"/>
      <c r="AH67" s="33"/>
      <c r="AI67" s="33">
        <v>1215000</v>
      </c>
      <c r="AJ67" s="33"/>
      <c r="AK67" s="33"/>
      <c r="AL67" s="33"/>
      <c r="AM67" s="33"/>
      <c r="AN67" s="33"/>
      <c r="AO67" s="33"/>
      <c r="AP67" s="33"/>
      <c r="AQ67" s="33"/>
      <c r="AR67" s="33"/>
      <c r="AS67" s="33"/>
      <c r="AT67" s="33"/>
      <c r="AU67" s="39"/>
      <c r="AV67" s="33"/>
      <c r="AW67" s="33"/>
      <c r="AX67" s="33"/>
      <c r="AY67" s="33"/>
      <c r="AZ67" s="33"/>
      <c r="BA67" s="33"/>
      <c r="BB67" s="33"/>
      <c r="BC67" s="33"/>
      <c r="BD67" s="43"/>
      <c r="BE67" s="33"/>
      <c r="BF67" s="43">
        <f t="shared" si="10"/>
        <v>3582029</v>
      </c>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43"/>
      <c r="CF67" s="43"/>
      <c r="CG67" s="43"/>
      <c r="CH67" s="43"/>
      <c r="CI67" s="43">
        <f t="shared" si="2"/>
        <v>0</v>
      </c>
    </row>
    <row r="68" spans="1:87" ht="74.25" customHeight="1" x14ac:dyDescent="0.8">
      <c r="A68" s="14" t="s">
        <v>168</v>
      </c>
      <c r="B68" s="15" t="s">
        <v>166</v>
      </c>
      <c r="C68" s="34"/>
      <c r="D68" s="34"/>
      <c r="E68" s="34"/>
      <c r="F68" s="34"/>
      <c r="G68" s="34"/>
      <c r="H68" s="33"/>
      <c r="I68" s="33"/>
      <c r="J68" s="33"/>
      <c r="K68" s="33">
        <v>500000</v>
      </c>
      <c r="L68" s="33"/>
      <c r="M68" s="43">
        <f t="shared" si="1"/>
        <v>0</v>
      </c>
      <c r="N68" s="33"/>
      <c r="O68" s="33"/>
      <c r="P68" s="33"/>
      <c r="Q68" s="33"/>
      <c r="R68" s="33"/>
      <c r="S68" s="33"/>
      <c r="T68" s="33"/>
      <c r="U68" s="43">
        <f t="shared" si="3"/>
        <v>2080033</v>
      </c>
      <c r="V68" s="33"/>
      <c r="W68" s="33"/>
      <c r="X68" s="33"/>
      <c r="Y68" s="33">
        <v>375000</v>
      </c>
      <c r="Z68" s="33"/>
      <c r="AA68" s="33"/>
      <c r="AB68" s="33"/>
      <c r="AC68" s="33"/>
      <c r="AD68" s="33">
        <v>1705033</v>
      </c>
      <c r="AE68" s="33">
        <v>109363</v>
      </c>
      <c r="AF68" s="33"/>
      <c r="AG68" s="33"/>
      <c r="AH68" s="33"/>
      <c r="AI68" s="33"/>
      <c r="AJ68" s="33"/>
      <c r="AK68" s="33"/>
      <c r="AL68" s="33"/>
      <c r="AM68" s="33"/>
      <c r="AN68" s="33"/>
      <c r="AO68" s="33"/>
      <c r="AP68" s="33"/>
      <c r="AQ68" s="33"/>
      <c r="AR68" s="33"/>
      <c r="AS68" s="33"/>
      <c r="AT68" s="33"/>
      <c r="AU68" s="33"/>
      <c r="AV68" s="33">
        <f>15000+10000</f>
        <v>25000</v>
      </c>
      <c r="AW68" s="33"/>
      <c r="AX68" s="33"/>
      <c r="AY68" s="33"/>
      <c r="AZ68" s="33"/>
      <c r="BA68" s="33"/>
      <c r="BB68" s="33"/>
      <c r="BC68" s="33"/>
      <c r="BD68" s="43"/>
      <c r="BE68" s="33"/>
      <c r="BF68" s="43">
        <f t="shared" si="10"/>
        <v>2714396</v>
      </c>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43"/>
      <c r="CF68" s="43"/>
      <c r="CG68" s="43"/>
      <c r="CH68" s="43"/>
      <c r="CI68" s="43">
        <f t="shared" si="2"/>
        <v>0</v>
      </c>
    </row>
    <row r="69" spans="1:87" ht="74.25" customHeight="1" x14ac:dyDescent="0.8">
      <c r="A69" s="14" t="s">
        <v>183</v>
      </c>
      <c r="B69" s="15" t="s">
        <v>184</v>
      </c>
      <c r="C69" s="34"/>
      <c r="D69" s="34"/>
      <c r="E69" s="34"/>
      <c r="F69" s="34"/>
      <c r="G69" s="34"/>
      <c r="H69" s="33"/>
      <c r="I69" s="33"/>
      <c r="J69" s="33"/>
      <c r="K69" s="33"/>
      <c r="L69" s="33"/>
      <c r="M69" s="43">
        <f t="shared" si="1"/>
        <v>0</v>
      </c>
      <c r="N69" s="33"/>
      <c r="O69" s="33"/>
      <c r="P69" s="33"/>
      <c r="Q69" s="33"/>
      <c r="R69" s="33"/>
      <c r="S69" s="33"/>
      <c r="T69" s="33"/>
      <c r="U69" s="43">
        <f t="shared" si="3"/>
        <v>455477</v>
      </c>
      <c r="V69" s="33"/>
      <c r="W69" s="33"/>
      <c r="X69" s="33"/>
      <c r="Y69" s="33"/>
      <c r="Z69" s="33"/>
      <c r="AA69" s="33"/>
      <c r="AB69" s="33"/>
      <c r="AC69" s="33"/>
      <c r="AD69" s="33">
        <v>455477</v>
      </c>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43"/>
      <c r="BE69" s="33"/>
      <c r="BF69" s="43">
        <f t="shared" si="10"/>
        <v>455477</v>
      </c>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43"/>
      <c r="CF69" s="43"/>
      <c r="CG69" s="43"/>
      <c r="CH69" s="43"/>
      <c r="CI69" s="43">
        <f t="shared" si="2"/>
        <v>0</v>
      </c>
    </row>
    <row r="70" spans="1:87" ht="74.25" customHeight="1" x14ac:dyDescent="0.8">
      <c r="A70" s="14" t="s">
        <v>142</v>
      </c>
      <c r="B70" s="15" t="s">
        <v>143</v>
      </c>
      <c r="C70" s="34"/>
      <c r="D70" s="34"/>
      <c r="E70" s="34"/>
      <c r="F70" s="34"/>
      <c r="G70" s="34"/>
      <c r="H70" s="33"/>
      <c r="I70" s="33"/>
      <c r="J70" s="33"/>
      <c r="K70" s="33"/>
      <c r="L70" s="33"/>
      <c r="M70" s="43">
        <f t="shared" si="1"/>
        <v>46000</v>
      </c>
      <c r="N70" s="33"/>
      <c r="O70" s="33"/>
      <c r="P70" s="33">
        <v>46000</v>
      </c>
      <c r="Q70" s="33"/>
      <c r="R70" s="33"/>
      <c r="S70" s="33"/>
      <c r="T70" s="33"/>
      <c r="U70" s="43">
        <f t="shared" si="3"/>
        <v>1397365</v>
      </c>
      <c r="V70" s="33"/>
      <c r="W70" s="33"/>
      <c r="X70" s="33"/>
      <c r="Y70" s="33">
        <v>375000</v>
      </c>
      <c r="Z70" s="33"/>
      <c r="AA70" s="33"/>
      <c r="AB70" s="33"/>
      <c r="AC70" s="33"/>
      <c r="AD70" s="33">
        <v>1022365</v>
      </c>
      <c r="AE70" s="33">
        <v>160840</v>
      </c>
      <c r="AF70" s="33"/>
      <c r="AG70" s="33"/>
      <c r="AH70" s="33"/>
      <c r="AI70" s="33">
        <v>430000</v>
      </c>
      <c r="AJ70" s="33"/>
      <c r="AK70" s="33"/>
      <c r="AL70" s="33"/>
      <c r="AM70" s="33"/>
      <c r="AN70" s="33"/>
      <c r="AO70" s="33"/>
      <c r="AP70" s="33"/>
      <c r="AQ70" s="33"/>
      <c r="AR70" s="33"/>
      <c r="AS70" s="33"/>
      <c r="AT70" s="33"/>
      <c r="AU70" s="33"/>
      <c r="AV70" s="33">
        <v>143000</v>
      </c>
      <c r="AW70" s="33"/>
      <c r="AX70" s="33"/>
      <c r="AY70" s="33"/>
      <c r="AZ70" s="33"/>
      <c r="BA70" s="33"/>
      <c r="BB70" s="33"/>
      <c r="BC70" s="33"/>
      <c r="BD70" s="43"/>
      <c r="BE70" s="33"/>
      <c r="BF70" s="43">
        <f t="shared" si="10"/>
        <v>2177205</v>
      </c>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43"/>
      <c r="CF70" s="43"/>
      <c r="CG70" s="43"/>
      <c r="CH70" s="43"/>
      <c r="CI70" s="43">
        <f t="shared" si="2"/>
        <v>0</v>
      </c>
    </row>
    <row r="71" spans="1:87" ht="74.25" customHeight="1" x14ac:dyDescent="0.8">
      <c r="A71" s="14" t="s">
        <v>185</v>
      </c>
      <c r="B71" s="15" t="s">
        <v>189</v>
      </c>
      <c r="C71" s="34"/>
      <c r="D71" s="34"/>
      <c r="E71" s="34"/>
      <c r="F71" s="34"/>
      <c r="G71" s="34"/>
      <c r="H71" s="33"/>
      <c r="I71" s="33"/>
      <c r="J71" s="33"/>
      <c r="K71" s="33"/>
      <c r="L71" s="33"/>
      <c r="M71" s="43">
        <f t="shared" si="1"/>
        <v>0</v>
      </c>
      <c r="N71" s="33"/>
      <c r="O71" s="33"/>
      <c r="P71" s="33"/>
      <c r="Q71" s="33"/>
      <c r="R71" s="33"/>
      <c r="S71" s="33"/>
      <c r="T71" s="33"/>
      <c r="U71" s="43">
        <f t="shared" si="3"/>
        <v>322220</v>
      </c>
      <c r="V71" s="33"/>
      <c r="W71" s="33"/>
      <c r="X71" s="33"/>
      <c r="Y71" s="33"/>
      <c r="Z71" s="33"/>
      <c r="AA71" s="33"/>
      <c r="AB71" s="33"/>
      <c r="AC71" s="33"/>
      <c r="AD71" s="33">
        <v>322220</v>
      </c>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43"/>
      <c r="BE71" s="33"/>
      <c r="BF71" s="43">
        <f t="shared" si="10"/>
        <v>322220</v>
      </c>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43"/>
      <c r="CF71" s="43"/>
      <c r="CG71" s="43"/>
      <c r="CH71" s="43"/>
      <c r="CI71" s="43">
        <f t="shared" si="2"/>
        <v>0</v>
      </c>
    </row>
    <row r="72" spans="1:87" ht="74.25" customHeight="1" x14ac:dyDescent="0.8">
      <c r="A72" s="14" t="s">
        <v>186</v>
      </c>
      <c r="B72" s="15" t="s">
        <v>190</v>
      </c>
      <c r="C72" s="34"/>
      <c r="D72" s="34"/>
      <c r="E72" s="34"/>
      <c r="F72" s="34"/>
      <c r="G72" s="34"/>
      <c r="H72" s="33"/>
      <c r="I72" s="33"/>
      <c r="J72" s="33"/>
      <c r="K72" s="33"/>
      <c r="L72" s="33"/>
      <c r="M72" s="43">
        <f t="shared" si="1"/>
        <v>0</v>
      </c>
      <c r="N72" s="33"/>
      <c r="O72" s="33"/>
      <c r="P72" s="33"/>
      <c r="Q72" s="33"/>
      <c r="R72" s="33"/>
      <c r="S72" s="33"/>
      <c r="T72" s="33"/>
      <c r="U72" s="43">
        <f t="shared" si="3"/>
        <v>2681133</v>
      </c>
      <c r="V72" s="33"/>
      <c r="W72" s="33"/>
      <c r="X72" s="33"/>
      <c r="Y72" s="33">
        <v>750000</v>
      </c>
      <c r="Z72" s="33"/>
      <c r="AA72" s="33"/>
      <c r="AB72" s="33"/>
      <c r="AC72" s="33"/>
      <c r="AD72" s="33">
        <v>1931133</v>
      </c>
      <c r="AE72" s="33">
        <f>523321+100222.85</f>
        <v>623543.85</v>
      </c>
      <c r="AF72" s="33"/>
      <c r="AG72" s="33"/>
      <c r="AH72" s="33"/>
      <c r="AI72" s="33"/>
      <c r="AJ72" s="33"/>
      <c r="AK72" s="33"/>
      <c r="AL72" s="33"/>
      <c r="AM72" s="33"/>
      <c r="AN72" s="33"/>
      <c r="AO72" s="33"/>
      <c r="AP72" s="33"/>
      <c r="AQ72" s="33"/>
      <c r="AR72" s="33"/>
      <c r="AS72" s="33"/>
      <c r="AT72" s="33"/>
      <c r="AU72" s="33"/>
      <c r="AV72" s="33"/>
      <c r="AW72" s="33"/>
      <c r="AX72" s="33"/>
      <c r="AY72" s="33"/>
      <c r="AZ72" s="33"/>
      <c r="BA72" s="33"/>
      <c r="BB72" s="33">
        <v>630000</v>
      </c>
      <c r="BC72" s="33">
        <f>700000</f>
        <v>700000</v>
      </c>
      <c r="BD72" s="43"/>
      <c r="BE72" s="33"/>
      <c r="BF72" s="43">
        <f t="shared" si="10"/>
        <v>4634676.8499999996</v>
      </c>
      <c r="BG72" s="33"/>
      <c r="BH72" s="33"/>
      <c r="BI72" s="33"/>
      <c r="BJ72" s="33"/>
      <c r="BK72" s="33"/>
      <c r="BL72" s="33">
        <v>17200</v>
      </c>
      <c r="BM72" s="33"/>
      <c r="BN72" s="33"/>
      <c r="BO72" s="33"/>
      <c r="BP72" s="33"/>
      <c r="BQ72" s="33"/>
      <c r="BR72" s="33"/>
      <c r="BS72" s="33"/>
      <c r="BT72" s="33"/>
      <c r="BU72" s="33"/>
      <c r="BV72" s="33"/>
      <c r="BW72" s="33"/>
      <c r="BX72" s="33"/>
      <c r="BY72" s="33"/>
      <c r="BZ72" s="33"/>
      <c r="CA72" s="33"/>
      <c r="CB72" s="33"/>
      <c r="CC72" s="33"/>
      <c r="CD72" s="33"/>
      <c r="CE72" s="43"/>
      <c r="CF72" s="43"/>
      <c r="CG72" s="43"/>
      <c r="CH72" s="43"/>
      <c r="CI72" s="43">
        <f t="shared" si="2"/>
        <v>17200</v>
      </c>
    </row>
    <row r="73" spans="1:87" ht="74.25" customHeight="1" x14ac:dyDescent="0.8">
      <c r="A73" s="14" t="s">
        <v>187</v>
      </c>
      <c r="B73" s="15" t="s">
        <v>191</v>
      </c>
      <c r="C73" s="34"/>
      <c r="D73" s="34"/>
      <c r="E73" s="34"/>
      <c r="F73" s="34"/>
      <c r="G73" s="34"/>
      <c r="H73" s="33"/>
      <c r="I73" s="33"/>
      <c r="J73" s="33"/>
      <c r="K73" s="33"/>
      <c r="L73" s="33"/>
      <c r="M73" s="43">
        <f t="shared" si="1"/>
        <v>0</v>
      </c>
      <c r="N73" s="33"/>
      <c r="O73" s="33"/>
      <c r="P73" s="33"/>
      <c r="Q73" s="33"/>
      <c r="R73" s="33"/>
      <c r="S73" s="33"/>
      <c r="T73" s="33"/>
      <c r="U73" s="43">
        <f t="shared" si="3"/>
        <v>360449</v>
      </c>
      <c r="V73" s="33"/>
      <c r="W73" s="33"/>
      <c r="X73" s="33"/>
      <c r="Y73" s="33"/>
      <c r="Z73" s="33"/>
      <c r="AA73" s="33"/>
      <c r="AB73" s="33"/>
      <c r="AC73" s="33"/>
      <c r="AD73" s="33">
        <v>360449</v>
      </c>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43"/>
      <c r="BE73" s="33"/>
      <c r="BF73" s="43">
        <f t="shared" si="10"/>
        <v>360449</v>
      </c>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43"/>
      <c r="CF73" s="43"/>
      <c r="CG73" s="43"/>
      <c r="CH73" s="43"/>
      <c r="CI73" s="43">
        <f t="shared" si="2"/>
        <v>0</v>
      </c>
    </row>
    <row r="74" spans="1:87" ht="74.25" customHeight="1" x14ac:dyDescent="0.8">
      <c r="A74" s="14" t="s">
        <v>188</v>
      </c>
      <c r="B74" s="15" t="s">
        <v>192</v>
      </c>
      <c r="C74" s="34"/>
      <c r="D74" s="34"/>
      <c r="E74" s="34"/>
      <c r="F74" s="34"/>
      <c r="G74" s="34"/>
      <c r="H74" s="33"/>
      <c r="I74" s="33"/>
      <c r="J74" s="33"/>
      <c r="K74" s="33"/>
      <c r="L74" s="33"/>
      <c r="M74" s="43">
        <f t="shared" si="1"/>
        <v>0</v>
      </c>
      <c r="N74" s="33"/>
      <c r="O74" s="33"/>
      <c r="P74" s="33"/>
      <c r="Q74" s="33"/>
      <c r="R74" s="33"/>
      <c r="S74" s="33"/>
      <c r="T74" s="33"/>
      <c r="U74" s="43">
        <f t="shared" si="3"/>
        <v>890200</v>
      </c>
      <c r="V74" s="33"/>
      <c r="W74" s="33"/>
      <c r="X74" s="33"/>
      <c r="Y74" s="33"/>
      <c r="Z74" s="33"/>
      <c r="AA74" s="33"/>
      <c r="AB74" s="33"/>
      <c r="AC74" s="33"/>
      <c r="AD74" s="33">
        <v>890200</v>
      </c>
      <c r="AE74" s="33"/>
      <c r="AF74" s="33"/>
      <c r="AG74" s="33"/>
      <c r="AH74" s="33"/>
      <c r="AI74" s="33"/>
      <c r="AJ74" s="33"/>
      <c r="AK74" s="33"/>
      <c r="AL74" s="33"/>
      <c r="AM74" s="33"/>
      <c r="AN74" s="33"/>
      <c r="AO74" s="33"/>
      <c r="AP74" s="33"/>
      <c r="AQ74" s="33"/>
      <c r="AR74" s="33"/>
      <c r="AS74" s="33"/>
      <c r="AT74" s="33"/>
      <c r="AU74" s="33"/>
      <c r="AV74" s="33">
        <v>155000</v>
      </c>
      <c r="AW74" s="33"/>
      <c r="AX74" s="33"/>
      <c r="AY74" s="33"/>
      <c r="AZ74" s="33"/>
      <c r="BA74" s="33"/>
      <c r="BB74" s="33"/>
      <c r="BC74" s="33"/>
      <c r="BD74" s="43"/>
      <c r="BE74" s="33"/>
      <c r="BF74" s="43">
        <f t="shared" si="10"/>
        <v>1045200</v>
      </c>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43"/>
      <c r="CF74" s="43"/>
      <c r="CG74" s="43"/>
      <c r="CH74" s="43"/>
      <c r="CI74" s="43">
        <f t="shared" si="2"/>
        <v>0</v>
      </c>
    </row>
    <row r="75" spans="1:87" ht="74.25" customHeight="1" x14ac:dyDescent="0.8">
      <c r="A75" s="14" t="s">
        <v>169</v>
      </c>
      <c r="B75" s="15" t="s">
        <v>165</v>
      </c>
      <c r="C75" s="34"/>
      <c r="D75" s="34"/>
      <c r="E75" s="34"/>
      <c r="F75" s="34"/>
      <c r="G75" s="34"/>
      <c r="H75" s="33"/>
      <c r="I75" s="33"/>
      <c r="J75" s="33"/>
      <c r="K75" s="33"/>
      <c r="L75" s="33"/>
      <c r="M75" s="43">
        <f t="shared" si="1"/>
        <v>0</v>
      </c>
      <c r="N75" s="33"/>
      <c r="O75" s="33"/>
      <c r="P75" s="33"/>
      <c r="Q75" s="33"/>
      <c r="R75" s="33"/>
      <c r="S75" s="33"/>
      <c r="T75" s="33"/>
      <c r="U75" s="43">
        <f t="shared" si="3"/>
        <v>1769477</v>
      </c>
      <c r="V75" s="33"/>
      <c r="W75" s="33"/>
      <c r="X75" s="33"/>
      <c r="Y75" s="33"/>
      <c r="Z75" s="33"/>
      <c r="AA75" s="33"/>
      <c r="AB75" s="33"/>
      <c r="AC75" s="33"/>
      <c r="AD75" s="33">
        <v>1769477</v>
      </c>
      <c r="AE75" s="33">
        <v>216590</v>
      </c>
      <c r="AF75" s="33"/>
      <c r="AG75" s="33"/>
      <c r="AH75" s="33"/>
      <c r="AI75" s="33">
        <v>620000</v>
      </c>
      <c r="AJ75" s="33"/>
      <c r="AK75" s="33"/>
      <c r="AL75" s="33"/>
      <c r="AM75" s="33"/>
      <c r="AN75" s="33"/>
      <c r="AO75" s="33"/>
      <c r="AP75" s="33"/>
      <c r="AQ75" s="33"/>
      <c r="AR75" s="33"/>
      <c r="AS75" s="33"/>
      <c r="AT75" s="33"/>
      <c r="AU75" s="33"/>
      <c r="AV75" s="33">
        <v>82300</v>
      </c>
      <c r="AW75" s="33"/>
      <c r="AX75" s="33"/>
      <c r="AY75" s="33"/>
      <c r="AZ75" s="33"/>
      <c r="BA75" s="33"/>
      <c r="BB75" s="33"/>
      <c r="BC75" s="33"/>
      <c r="BD75" s="43"/>
      <c r="BE75" s="33"/>
      <c r="BF75" s="43">
        <f t="shared" si="10"/>
        <v>2688367</v>
      </c>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43"/>
      <c r="CF75" s="43"/>
      <c r="CG75" s="43"/>
      <c r="CH75" s="43"/>
      <c r="CI75" s="43">
        <f t="shared" si="2"/>
        <v>0</v>
      </c>
    </row>
    <row r="76" spans="1:87" ht="74.25" customHeight="1" x14ac:dyDescent="0.8">
      <c r="A76" s="14" t="s">
        <v>145</v>
      </c>
      <c r="B76" s="15" t="s">
        <v>146</v>
      </c>
      <c r="C76" s="34"/>
      <c r="D76" s="34"/>
      <c r="E76" s="34"/>
      <c r="F76" s="34"/>
      <c r="G76" s="34"/>
      <c r="H76" s="33"/>
      <c r="I76" s="33"/>
      <c r="J76" s="33"/>
      <c r="K76" s="33">
        <v>500000</v>
      </c>
      <c r="L76" s="33"/>
      <c r="M76" s="43">
        <f t="shared" si="1"/>
        <v>50000</v>
      </c>
      <c r="N76" s="33"/>
      <c r="O76" s="33"/>
      <c r="P76" s="33">
        <v>50000</v>
      </c>
      <c r="Q76" s="33"/>
      <c r="R76" s="33"/>
      <c r="S76" s="33"/>
      <c r="T76" s="33"/>
      <c r="U76" s="43">
        <f t="shared" si="3"/>
        <v>1488764</v>
      </c>
      <c r="V76" s="33"/>
      <c r="W76" s="33"/>
      <c r="X76" s="33"/>
      <c r="Y76" s="33"/>
      <c r="Z76" s="33"/>
      <c r="AA76" s="33"/>
      <c r="AB76" s="33"/>
      <c r="AC76" s="33"/>
      <c r="AD76" s="33">
        <v>1488764</v>
      </c>
      <c r="AE76" s="33"/>
      <c r="AF76" s="33"/>
      <c r="AG76" s="33"/>
      <c r="AH76" s="33"/>
      <c r="AI76" s="33"/>
      <c r="AJ76" s="33"/>
      <c r="AK76" s="33"/>
      <c r="AL76" s="33"/>
      <c r="AM76" s="33"/>
      <c r="AN76" s="33"/>
      <c r="AO76" s="33"/>
      <c r="AP76" s="33"/>
      <c r="AQ76" s="33"/>
      <c r="AR76" s="33"/>
      <c r="AS76" s="33"/>
      <c r="AT76" s="33"/>
      <c r="AU76" s="33"/>
      <c r="AV76" s="33">
        <v>90000</v>
      </c>
      <c r="AW76" s="33"/>
      <c r="AX76" s="33"/>
      <c r="AY76" s="33"/>
      <c r="AZ76" s="33"/>
      <c r="BA76" s="33"/>
      <c r="BB76" s="33">
        <v>600000</v>
      </c>
      <c r="BC76" s="33"/>
      <c r="BD76" s="43"/>
      <c r="BE76" s="33">
        <f>560000+5088000</f>
        <v>5648000</v>
      </c>
      <c r="BF76" s="43">
        <f t="shared" ref="BF76:BF89" si="18">SUM(C76:BE76)-P76-Q76-V76-W76-X76-Y76-Z76-AD76-O76-N76-AA76-R76-T76-AC76-AB76-AQ76-S76</f>
        <v>8376764</v>
      </c>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43"/>
      <c r="CF76" s="43"/>
      <c r="CG76" s="43"/>
      <c r="CH76" s="43"/>
      <c r="CI76" s="43">
        <f t="shared" si="2"/>
        <v>0</v>
      </c>
    </row>
    <row r="77" spans="1:87" ht="74.25" customHeight="1" x14ac:dyDescent="0.8">
      <c r="A77" s="14" t="s">
        <v>193</v>
      </c>
      <c r="B77" s="15" t="s">
        <v>199</v>
      </c>
      <c r="C77" s="34"/>
      <c r="D77" s="34"/>
      <c r="E77" s="34"/>
      <c r="F77" s="34"/>
      <c r="G77" s="34"/>
      <c r="H77" s="33"/>
      <c r="I77" s="33"/>
      <c r="J77" s="33"/>
      <c r="K77" s="33"/>
      <c r="L77" s="33"/>
      <c r="M77" s="43">
        <f t="shared" ref="M77:M89" si="19">N77+O77+P77+Q77+R77+T77+S77</f>
        <v>0</v>
      </c>
      <c r="N77" s="33"/>
      <c r="O77" s="33"/>
      <c r="P77" s="33"/>
      <c r="Q77" s="33"/>
      <c r="R77" s="33"/>
      <c r="S77" s="33"/>
      <c r="T77" s="33"/>
      <c r="U77" s="43">
        <f t="shared" ref="U77:U89" si="20">V77+W77+X77+Y77+Z77+AD77+AA77+AC77+AB77</f>
        <v>264329</v>
      </c>
      <c r="V77" s="33"/>
      <c r="W77" s="33"/>
      <c r="X77" s="33"/>
      <c r="Y77" s="33"/>
      <c r="Z77" s="33"/>
      <c r="AA77" s="33"/>
      <c r="AB77" s="33"/>
      <c r="AC77" s="33"/>
      <c r="AD77" s="33">
        <v>264329</v>
      </c>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43"/>
      <c r="BE77" s="33"/>
      <c r="BF77" s="43">
        <f t="shared" si="18"/>
        <v>264329</v>
      </c>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43"/>
      <c r="CF77" s="43"/>
      <c r="CG77" s="43"/>
      <c r="CH77" s="43"/>
      <c r="CI77" s="43">
        <f t="shared" ref="CI77:CI89" si="21">SUM(BG77:CH77)-CG77</f>
        <v>0</v>
      </c>
    </row>
    <row r="78" spans="1:87" ht="74.25" customHeight="1" x14ac:dyDescent="0.8">
      <c r="A78" s="14" t="s">
        <v>194</v>
      </c>
      <c r="B78" s="15" t="s">
        <v>200</v>
      </c>
      <c r="C78" s="34"/>
      <c r="D78" s="34"/>
      <c r="E78" s="34"/>
      <c r="F78" s="34"/>
      <c r="G78" s="34"/>
      <c r="H78" s="33"/>
      <c r="I78" s="33"/>
      <c r="J78" s="33"/>
      <c r="K78" s="33"/>
      <c r="L78" s="33"/>
      <c r="M78" s="43">
        <f t="shared" si="19"/>
        <v>0</v>
      </c>
      <c r="N78" s="33"/>
      <c r="O78" s="33"/>
      <c r="P78" s="33"/>
      <c r="Q78" s="33"/>
      <c r="R78" s="33"/>
      <c r="S78" s="33"/>
      <c r="T78" s="33"/>
      <c r="U78" s="43">
        <f t="shared" si="20"/>
        <v>406324</v>
      </c>
      <c r="V78" s="33"/>
      <c r="W78" s="33"/>
      <c r="X78" s="33"/>
      <c r="Y78" s="33"/>
      <c r="Z78" s="33"/>
      <c r="AA78" s="33"/>
      <c r="AB78" s="33"/>
      <c r="AC78" s="33"/>
      <c r="AD78" s="33">
        <v>406324</v>
      </c>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43"/>
      <c r="BE78" s="33"/>
      <c r="BF78" s="43">
        <f t="shared" si="18"/>
        <v>406324</v>
      </c>
      <c r="BG78" s="33"/>
      <c r="BH78" s="33"/>
      <c r="BI78" s="33"/>
      <c r="BJ78" s="33"/>
      <c r="BK78" s="33"/>
      <c r="BL78" s="33">
        <v>4000</v>
      </c>
      <c r="BM78" s="33"/>
      <c r="BN78" s="33"/>
      <c r="BO78" s="33"/>
      <c r="BP78" s="33"/>
      <c r="BQ78" s="33"/>
      <c r="BR78" s="33"/>
      <c r="BS78" s="33"/>
      <c r="BT78" s="33"/>
      <c r="BU78" s="33"/>
      <c r="BV78" s="33"/>
      <c r="BW78" s="33"/>
      <c r="BX78" s="33"/>
      <c r="BY78" s="33"/>
      <c r="BZ78" s="33"/>
      <c r="CA78" s="33"/>
      <c r="CB78" s="33"/>
      <c r="CC78" s="33"/>
      <c r="CD78" s="33"/>
      <c r="CE78" s="43"/>
      <c r="CF78" s="43"/>
      <c r="CG78" s="43"/>
      <c r="CH78" s="43"/>
      <c r="CI78" s="43">
        <f t="shared" si="21"/>
        <v>4000</v>
      </c>
    </row>
    <row r="79" spans="1:87" ht="74.25" customHeight="1" x14ac:dyDescent="0.8">
      <c r="A79" s="14" t="s">
        <v>195</v>
      </c>
      <c r="B79" s="15" t="s">
        <v>201</v>
      </c>
      <c r="C79" s="34"/>
      <c r="D79" s="34"/>
      <c r="E79" s="34"/>
      <c r="F79" s="34"/>
      <c r="G79" s="34"/>
      <c r="H79" s="33"/>
      <c r="I79" s="33"/>
      <c r="J79" s="33"/>
      <c r="K79" s="33"/>
      <c r="L79" s="33"/>
      <c r="M79" s="43">
        <f t="shared" si="19"/>
        <v>0</v>
      </c>
      <c r="N79" s="33"/>
      <c r="O79" s="33"/>
      <c r="P79" s="33"/>
      <c r="Q79" s="33"/>
      <c r="R79" s="33"/>
      <c r="S79" s="33"/>
      <c r="T79" s="33"/>
      <c r="U79" s="43">
        <f t="shared" si="20"/>
        <v>337511</v>
      </c>
      <c r="V79" s="33"/>
      <c r="W79" s="33"/>
      <c r="X79" s="33"/>
      <c r="Y79" s="33"/>
      <c r="Z79" s="33"/>
      <c r="AA79" s="33"/>
      <c r="AB79" s="33"/>
      <c r="AC79" s="33"/>
      <c r="AD79" s="33">
        <v>337511</v>
      </c>
      <c r="AE79" s="33"/>
      <c r="AF79" s="33"/>
      <c r="AG79" s="33"/>
      <c r="AH79" s="33"/>
      <c r="AI79" s="33"/>
      <c r="AJ79" s="33"/>
      <c r="AK79" s="33"/>
      <c r="AL79" s="33"/>
      <c r="AM79" s="33"/>
      <c r="AN79" s="33"/>
      <c r="AO79" s="33"/>
      <c r="AP79" s="33"/>
      <c r="AQ79" s="33"/>
      <c r="AR79" s="33"/>
      <c r="AS79" s="33"/>
      <c r="AT79" s="33"/>
      <c r="AU79" s="33"/>
      <c r="AV79" s="33">
        <v>17000</v>
      </c>
      <c r="AW79" s="33"/>
      <c r="AX79" s="33"/>
      <c r="AY79" s="33"/>
      <c r="AZ79" s="33"/>
      <c r="BA79" s="33"/>
      <c r="BB79" s="33"/>
      <c r="BC79" s="33"/>
      <c r="BD79" s="43"/>
      <c r="BE79" s="33"/>
      <c r="BF79" s="43">
        <f t="shared" si="18"/>
        <v>354511</v>
      </c>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43"/>
      <c r="CF79" s="43"/>
      <c r="CG79" s="43"/>
      <c r="CH79" s="43"/>
      <c r="CI79" s="43">
        <f t="shared" si="21"/>
        <v>0</v>
      </c>
    </row>
    <row r="80" spans="1:87" ht="74.25" customHeight="1" x14ac:dyDescent="0.8">
      <c r="A80" s="14" t="s">
        <v>196</v>
      </c>
      <c r="B80" s="15" t="s">
        <v>202</v>
      </c>
      <c r="C80" s="34"/>
      <c r="D80" s="34"/>
      <c r="E80" s="34"/>
      <c r="F80" s="34"/>
      <c r="G80" s="34"/>
      <c r="H80" s="33"/>
      <c r="I80" s="33"/>
      <c r="J80" s="33"/>
      <c r="K80" s="33"/>
      <c r="L80" s="33"/>
      <c r="M80" s="43">
        <f t="shared" si="19"/>
        <v>0</v>
      </c>
      <c r="N80" s="33"/>
      <c r="O80" s="33"/>
      <c r="P80" s="33"/>
      <c r="Q80" s="33"/>
      <c r="R80" s="33"/>
      <c r="S80" s="33"/>
      <c r="T80" s="33"/>
      <c r="U80" s="43">
        <f t="shared" si="20"/>
        <v>478414</v>
      </c>
      <c r="V80" s="33"/>
      <c r="W80" s="33"/>
      <c r="X80" s="33"/>
      <c r="Y80" s="33"/>
      <c r="Z80" s="33"/>
      <c r="AA80" s="33"/>
      <c r="AB80" s="33"/>
      <c r="AC80" s="33"/>
      <c r="AD80" s="33">
        <v>478414</v>
      </c>
      <c r="AE80" s="33">
        <f>12816+10680</f>
        <v>23496</v>
      </c>
      <c r="AF80" s="33"/>
      <c r="AG80" s="33"/>
      <c r="AH80" s="33"/>
      <c r="AI80" s="33"/>
      <c r="AJ80" s="33"/>
      <c r="AK80" s="33"/>
      <c r="AL80" s="33"/>
      <c r="AM80" s="33"/>
      <c r="AN80" s="33"/>
      <c r="AO80" s="33"/>
      <c r="AP80" s="33"/>
      <c r="AQ80" s="33"/>
      <c r="AR80" s="33"/>
      <c r="AS80" s="33"/>
      <c r="AT80" s="33"/>
      <c r="AU80" s="33"/>
      <c r="AV80" s="33">
        <v>90000</v>
      </c>
      <c r="AW80" s="33"/>
      <c r="AX80" s="33"/>
      <c r="AY80" s="33"/>
      <c r="AZ80" s="33"/>
      <c r="BA80" s="33"/>
      <c r="BB80" s="33"/>
      <c r="BC80" s="33"/>
      <c r="BD80" s="43"/>
      <c r="BE80" s="33"/>
      <c r="BF80" s="43">
        <f t="shared" si="18"/>
        <v>591910</v>
      </c>
      <c r="BG80" s="33"/>
      <c r="BH80" s="33"/>
      <c r="BI80" s="33"/>
      <c r="BJ80" s="33"/>
      <c r="BK80" s="33"/>
      <c r="BL80" s="33">
        <v>4400</v>
      </c>
      <c r="BM80" s="33"/>
      <c r="BN80" s="33"/>
      <c r="BO80" s="33"/>
      <c r="BP80" s="33"/>
      <c r="BQ80" s="33"/>
      <c r="BR80" s="33"/>
      <c r="BS80" s="33"/>
      <c r="BT80" s="33"/>
      <c r="BU80" s="33"/>
      <c r="BV80" s="33"/>
      <c r="BW80" s="33"/>
      <c r="BX80" s="33"/>
      <c r="BY80" s="33"/>
      <c r="BZ80" s="33"/>
      <c r="CA80" s="33"/>
      <c r="CB80" s="33"/>
      <c r="CC80" s="33"/>
      <c r="CD80" s="33"/>
      <c r="CE80" s="43"/>
      <c r="CF80" s="43"/>
      <c r="CG80" s="43"/>
      <c r="CH80" s="43"/>
      <c r="CI80" s="43">
        <f t="shared" si="21"/>
        <v>4400</v>
      </c>
    </row>
    <row r="81" spans="1:87" ht="74.25" customHeight="1" x14ac:dyDescent="0.8">
      <c r="A81" s="14" t="s">
        <v>197</v>
      </c>
      <c r="B81" s="15" t="s">
        <v>203</v>
      </c>
      <c r="C81" s="34"/>
      <c r="D81" s="34"/>
      <c r="E81" s="34"/>
      <c r="F81" s="34"/>
      <c r="G81" s="34"/>
      <c r="H81" s="33"/>
      <c r="I81" s="33"/>
      <c r="J81" s="33"/>
      <c r="K81" s="33"/>
      <c r="L81" s="33"/>
      <c r="M81" s="43">
        <f t="shared" si="19"/>
        <v>0</v>
      </c>
      <c r="N81" s="33"/>
      <c r="O81" s="33"/>
      <c r="P81" s="33"/>
      <c r="Q81" s="33"/>
      <c r="R81" s="33"/>
      <c r="S81" s="33"/>
      <c r="T81" s="33"/>
      <c r="U81" s="43">
        <f t="shared" si="20"/>
        <v>288359</v>
      </c>
      <c r="V81" s="33"/>
      <c r="W81" s="33"/>
      <c r="X81" s="33"/>
      <c r="Y81" s="33"/>
      <c r="Z81" s="33"/>
      <c r="AA81" s="33"/>
      <c r="AB81" s="33"/>
      <c r="AC81" s="33"/>
      <c r="AD81" s="33">
        <v>288359</v>
      </c>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43"/>
      <c r="BE81" s="33"/>
      <c r="BF81" s="43">
        <f t="shared" si="18"/>
        <v>288359</v>
      </c>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43"/>
      <c r="CF81" s="43"/>
      <c r="CG81" s="43"/>
      <c r="CH81" s="43"/>
      <c r="CI81" s="43">
        <f t="shared" si="21"/>
        <v>0</v>
      </c>
    </row>
    <row r="82" spans="1:87" ht="74.25" customHeight="1" x14ac:dyDescent="0.8">
      <c r="A82" s="14" t="s">
        <v>198</v>
      </c>
      <c r="B82" s="15" t="s">
        <v>204</v>
      </c>
      <c r="C82" s="34"/>
      <c r="D82" s="34"/>
      <c r="E82" s="34"/>
      <c r="F82" s="34"/>
      <c r="G82" s="34"/>
      <c r="H82" s="33"/>
      <c r="I82" s="33"/>
      <c r="J82" s="33"/>
      <c r="K82" s="33"/>
      <c r="L82" s="33"/>
      <c r="M82" s="43">
        <f t="shared" si="19"/>
        <v>0</v>
      </c>
      <c r="N82" s="33"/>
      <c r="O82" s="33"/>
      <c r="P82" s="33"/>
      <c r="Q82" s="33"/>
      <c r="R82" s="33"/>
      <c r="S82" s="33"/>
      <c r="T82" s="33"/>
      <c r="U82" s="43">
        <f t="shared" si="20"/>
        <v>258868</v>
      </c>
      <c r="V82" s="33"/>
      <c r="W82" s="33"/>
      <c r="X82" s="33"/>
      <c r="Y82" s="33"/>
      <c r="Z82" s="33"/>
      <c r="AA82" s="33"/>
      <c r="AB82" s="33"/>
      <c r="AC82" s="33"/>
      <c r="AD82" s="33">
        <v>258868</v>
      </c>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43"/>
      <c r="BE82" s="33"/>
      <c r="BF82" s="43">
        <f t="shared" si="18"/>
        <v>258868</v>
      </c>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43"/>
      <c r="CF82" s="43"/>
      <c r="CG82" s="43"/>
      <c r="CH82" s="43"/>
      <c r="CI82" s="43">
        <f t="shared" si="21"/>
        <v>0</v>
      </c>
    </row>
    <row r="83" spans="1:87" ht="74.25" customHeight="1" x14ac:dyDescent="0.8">
      <c r="A83" s="14" t="s">
        <v>144</v>
      </c>
      <c r="B83" s="15" t="s">
        <v>159</v>
      </c>
      <c r="C83" s="34"/>
      <c r="D83" s="34"/>
      <c r="E83" s="34"/>
      <c r="F83" s="34"/>
      <c r="G83" s="34"/>
      <c r="H83" s="33"/>
      <c r="I83" s="33"/>
      <c r="J83" s="33"/>
      <c r="K83" s="33"/>
      <c r="L83" s="33"/>
      <c r="M83" s="43">
        <f t="shared" si="19"/>
        <v>45000</v>
      </c>
      <c r="N83" s="33"/>
      <c r="O83" s="33"/>
      <c r="P83" s="33">
        <v>45000</v>
      </c>
      <c r="Q83" s="33"/>
      <c r="R83" s="33"/>
      <c r="S83" s="33"/>
      <c r="T83" s="33"/>
      <c r="U83" s="43">
        <f t="shared" si="20"/>
        <v>304801</v>
      </c>
      <c r="V83" s="33"/>
      <c r="W83" s="33"/>
      <c r="X83" s="33"/>
      <c r="Y83" s="33"/>
      <c r="Z83" s="33"/>
      <c r="AA83" s="33"/>
      <c r="AB83" s="33"/>
      <c r="AC83" s="33"/>
      <c r="AD83" s="33">
        <v>304801</v>
      </c>
      <c r="AE83" s="33"/>
      <c r="AF83" s="33"/>
      <c r="AG83" s="33"/>
      <c r="AH83" s="33"/>
      <c r="AI83" s="33"/>
      <c r="AJ83" s="33"/>
      <c r="AK83" s="33"/>
      <c r="AL83" s="33"/>
      <c r="AM83" s="33"/>
      <c r="AN83" s="33"/>
      <c r="AO83" s="33"/>
      <c r="AP83" s="33"/>
      <c r="AQ83" s="33"/>
      <c r="AR83" s="33"/>
      <c r="AS83" s="33"/>
      <c r="AT83" s="33"/>
      <c r="AU83" s="33"/>
      <c r="AV83" s="33">
        <f>38000+13866</f>
        <v>51866</v>
      </c>
      <c r="AW83" s="33"/>
      <c r="AX83" s="33"/>
      <c r="AY83" s="33"/>
      <c r="AZ83" s="33"/>
      <c r="BA83" s="33"/>
      <c r="BB83" s="33">
        <v>354000</v>
      </c>
      <c r="BC83" s="33"/>
      <c r="BD83" s="43"/>
      <c r="BE83" s="33"/>
      <c r="BF83" s="43">
        <f t="shared" si="18"/>
        <v>755667</v>
      </c>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43"/>
      <c r="CF83" s="43"/>
      <c r="CG83" s="43"/>
      <c r="CH83" s="43"/>
      <c r="CI83" s="43">
        <f t="shared" si="21"/>
        <v>0</v>
      </c>
    </row>
    <row r="84" spans="1:87" ht="74.25" customHeight="1" x14ac:dyDescent="0.8">
      <c r="A84" s="14"/>
      <c r="B84" s="15" t="s">
        <v>56</v>
      </c>
      <c r="C84" s="34">
        <f>SUM(C50:C83)</f>
        <v>0</v>
      </c>
      <c r="D84" s="34">
        <f>SUM(D50:D83)</f>
        <v>300000</v>
      </c>
      <c r="E84" s="34">
        <f t="shared" ref="E84:BC84" si="22">SUM(E50:E83)</f>
        <v>0</v>
      </c>
      <c r="F84" s="34">
        <f t="shared" si="22"/>
        <v>0</v>
      </c>
      <c r="G84" s="34">
        <f t="shared" si="22"/>
        <v>0</v>
      </c>
      <c r="H84" s="34">
        <f t="shared" si="22"/>
        <v>0</v>
      </c>
      <c r="I84" s="34">
        <f>SUM(I50:I83)</f>
        <v>0</v>
      </c>
      <c r="J84" s="34">
        <f>SUM(J50:J83)</f>
        <v>1573792</v>
      </c>
      <c r="K84" s="34">
        <f>SUM(K50:K83)</f>
        <v>4000000</v>
      </c>
      <c r="L84" s="34">
        <f>SUM(L50:L83)</f>
        <v>0</v>
      </c>
      <c r="M84" s="43">
        <f t="shared" si="19"/>
        <v>141000</v>
      </c>
      <c r="N84" s="34">
        <f>SUM(N50:N83)</f>
        <v>0</v>
      </c>
      <c r="O84" s="34">
        <f t="shared" ref="O84:T84" si="23">SUM(O50:O83)</f>
        <v>0</v>
      </c>
      <c r="P84" s="34">
        <f t="shared" si="23"/>
        <v>141000</v>
      </c>
      <c r="Q84" s="34">
        <f t="shared" si="23"/>
        <v>0</v>
      </c>
      <c r="R84" s="34">
        <f t="shared" si="23"/>
        <v>0</v>
      </c>
      <c r="S84" s="34">
        <f t="shared" si="23"/>
        <v>0</v>
      </c>
      <c r="T84" s="34">
        <f t="shared" si="23"/>
        <v>0</v>
      </c>
      <c r="U84" s="43">
        <f t="shared" si="20"/>
        <v>37129379</v>
      </c>
      <c r="V84" s="34">
        <f t="shared" si="22"/>
        <v>0</v>
      </c>
      <c r="W84" s="34">
        <f t="shared" si="22"/>
        <v>0</v>
      </c>
      <c r="X84" s="34">
        <f t="shared" si="22"/>
        <v>706290</v>
      </c>
      <c r="Y84" s="34">
        <f>SUM(Y50:Y83)</f>
        <v>2250000</v>
      </c>
      <c r="Z84" s="34">
        <f t="shared" si="22"/>
        <v>7203873</v>
      </c>
      <c r="AA84" s="34">
        <f t="shared" si="22"/>
        <v>325416</v>
      </c>
      <c r="AB84" s="34"/>
      <c r="AC84" s="34">
        <f t="shared" si="22"/>
        <v>0</v>
      </c>
      <c r="AD84" s="34">
        <f t="shared" si="22"/>
        <v>26643800</v>
      </c>
      <c r="AE84" s="34">
        <f t="shared" si="22"/>
        <v>1740454.85</v>
      </c>
      <c r="AF84" s="34">
        <f t="shared" si="22"/>
        <v>1316473</v>
      </c>
      <c r="AG84" s="34"/>
      <c r="AH84" s="34">
        <f>SUM(AH50:AH83)</f>
        <v>145200</v>
      </c>
      <c r="AI84" s="34">
        <f t="shared" si="22"/>
        <v>3055000</v>
      </c>
      <c r="AJ84" s="34">
        <f t="shared" si="22"/>
        <v>0</v>
      </c>
      <c r="AK84" s="34"/>
      <c r="AL84" s="34">
        <f t="shared" si="22"/>
        <v>0</v>
      </c>
      <c r="AM84" s="34">
        <f t="shared" si="22"/>
        <v>0</v>
      </c>
      <c r="AN84" s="34">
        <f t="shared" si="22"/>
        <v>0</v>
      </c>
      <c r="AO84" s="34">
        <f t="shared" si="22"/>
        <v>0</v>
      </c>
      <c r="AP84" s="34">
        <f t="shared" si="22"/>
        <v>0</v>
      </c>
      <c r="AQ84" s="34"/>
      <c r="AR84" s="34">
        <f t="shared" si="22"/>
        <v>0</v>
      </c>
      <c r="AS84" s="34">
        <f t="shared" si="22"/>
        <v>0</v>
      </c>
      <c r="AT84" s="34">
        <f t="shared" si="22"/>
        <v>0</v>
      </c>
      <c r="AU84" s="34">
        <f t="shared" si="22"/>
        <v>0</v>
      </c>
      <c r="AV84" s="34">
        <f t="shared" si="22"/>
        <v>2589966</v>
      </c>
      <c r="AW84" s="34">
        <f>SUM(AW50:AW83)</f>
        <v>0</v>
      </c>
      <c r="AX84" s="34">
        <f>SUM(AX50:AX83)</f>
        <v>0</v>
      </c>
      <c r="AY84" s="34">
        <f>SUM(AY50:AY83)</f>
        <v>0</v>
      </c>
      <c r="AZ84" s="34">
        <f t="shared" si="22"/>
        <v>0</v>
      </c>
      <c r="BA84" s="34">
        <f t="shared" si="22"/>
        <v>2700000</v>
      </c>
      <c r="BB84" s="34">
        <f t="shared" si="22"/>
        <v>2684000</v>
      </c>
      <c r="BC84" s="34">
        <f t="shared" si="22"/>
        <v>1300000</v>
      </c>
      <c r="BD84" s="34">
        <f>SUM(BD50:BD83)</f>
        <v>400000</v>
      </c>
      <c r="BE84" s="34">
        <f>SUM(BE50:BE83)</f>
        <v>13993727</v>
      </c>
      <c r="BF84" s="43">
        <f t="shared" si="18"/>
        <v>73068991.849999994</v>
      </c>
      <c r="BG84" s="34">
        <f>SUM(BG50:BG83)</f>
        <v>0</v>
      </c>
      <c r="BH84" s="34">
        <f>SUM(BH50:BH83)</f>
        <v>0</v>
      </c>
      <c r="BI84" s="34">
        <f>SUM(BI50:BI83)</f>
        <v>0</v>
      </c>
      <c r="BJ84" s="34">
        <f>SUM(BJ50:BJ83)</f>
        <v>0</v>
      </c>
      <c r="BK84" s="34">
        <f>SUM(BK50:BK83)</f>
        <v>63313000</v>
      </c>
      <c r="BL84" s="34">
        <f t="shared" ref="BL84:BV84" si="24">SUM(BL50:BL83)</f>
        <v>149010</v>
      </c>
      <c r="BM84" s="34">
        <f t="shared" si="24"/>
        <v>0</v>
      </c>
      <c r="BN84" s="34">
        <f t="shared" si="24"/>
        <v>0</v>
      </c>
      <c r="BO84" s="34">
        <f t="shared" si="24"/>
        <v>0</v>
      </c>
      <c r="BP84" s="34">
        <f t="shared" si="24"/>
        <v>0</v>
      </c>
      <c r="BQ84" s="34">
        <f t="shared" si="24"/>
        <v>0</v>
      </c>
      <c r="BR84" s="34">
        <f t="shared" si="24"/>
        <v>0</v>
      </c>
      <c r="BS84" s="34">
        <f t="shared" si="24"/>
        <v>0</v>
      </c>
      <c r="BT84" s="34"/>
      <c r="BU84" s="34">
        <f t="shared" si="24"/>
        <v>0</v>
      </c>
      <c r="BV84" s="34">
        <f t="shared" si="24"/>
        <v>0</v>
      </c>
      <c r="BW84" s="34">
        <f>SUM(BW50:BW83)</f>
        <v>0</v>
      </c>
      <c r="BX84" s="34">
        <f>SUM(BX50:BX83)</f>
        <v>0</v>
      </c>
      <c r="BY84" s="34"/>
      <c r="BZ84" s="34">
        <f t="shared" ref="BZ84:CH84" si="25">SUM(BZ50:BZ83)</f>
        <v>0</v>
      </c>
      <c r="CA84" s="34">
        <f t="shared" si="25"/>
        <v>0</v>
      </c>
      <c r="CB84" s="34">
        <f t="shared" si="25"/>
        <v>0</v>
      </c>
      <c r="CC84" s="34">
        <f t="shared" si="25"/>
        <v>0</v>
      </c>
      <c r="CD84" s="34">
        <f t="shared" si="25"/>
        <v>2000000</v>
      </c>
      <c r="CE84" s="34">
        <f t="shared" si="25"/>
        <v>2000000</v>
      </c>
      <c r="CF84" s="34">
        <f t="shared" si="25"/>
        <v>0</v>
      </c>
      <c r="CG84" s="34">
        <f t="shared" si="25"/>
        <v>0</v>
      </c>
      <c r="CH84" s="34">
        <f t="shared" si="25"/>
        <v>0</v>
      </c>
      <c r="CI84" s="43">
        <f t="shared" si="21"/>
        <v>67462010</v>
      </c>
    </row>
    <row r="85" spans="1:87" ht="74.25" customHeight="1" x14ac:dyDescent="0.8">
      <c r="A85" s="14" t="s">
        <v>158</v>
      </c>
      <c r="B85" s="15" t="s">
        <v>118</v>
      </c>
      <c r="C85" s="34"/>
      <c r="D85" s="34"/>
      <c r="E85" s="34"/>
      <c r="F85" s="34"/>
      <c r="G85" s="34"/>
      <c r="H85" s="34"/>
      <c r="I85" s="34"/>
      <c r="J85" s="34"/>
      <c r="K85" s="34"/>
      <c r="L85" s="34"/>
      <c r="M85" s="43">
        <f t="shared" si="19"/>
        <v>0</v>
      </c>
      <c r="N85" s="34"/>
      <c r="O85" s="34"/>
      <c r="P85" s="34"/>
      <c r="Q85" s="34"/>
      <c r="R85" s="34"/>
      <c r="S85" s="34"/>
      <c r="T85" s="34"/>
      <c r="U85" s="43">
        <f t="shared" si="20"/>
        <v>0</v>
      </c>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44"/>
      <c r="BE85" s="34"/>
      <c r="BF85" s="43">
        <f t="shared" si="18"/>
        <v>0</v>
      </c>
      <c r="BG85" s="34"/>
      <c r="BH85" s="34">
        <v>5048500</v>
      </c>
      <c r="BI85" s="34"/>
      <c r="BJ85" s="34"/>
      <c r="BK85" s="34"/>
      <c r="BL85" s="34"/>
      <c r="BM85" s="34"/>
      <c r="BN85" s="34"/>
      <c r="BO85" s="34"/>
      <c r="BP85" s="34"/>
      <c r="BQ85" s="34"/>
      <c r="BR85" s="34"/>
      <c r="BS85" s="34"/>
      <c r="BT85" s="34"/>
      <c r="BU85" s="34"/>
      <c r="BV85" s="34"/>
      <c r="BW85" s="34"/>
      <c r="BX85" s="34"/>
      <c r="BY85" s="34"/>
      <c r="BZ85" s="34"/>
      <c r="CA85" s="34"/>
      <c r="CB85" s="34"/>
      <c r="CC85" s="34"/>
      <c r="CD85" s="34"/>
      <c r="CE85" s="44"/>
      <c r="CF85" s="44"/>
      <c r="CG85" s="44"/>
      <c r="CH85" s="44"/>
      <c r="CI85" s="43">
        <f t="shared" si="21"/>
        <v>5048500</v>
      </c>
    </row>
    <row r="86" spans="1:87" ht="119.25" customHeight="1" x14ac:dyDescent="0.8">
      <c r="A86" s="14">
        <v>11100000000</v>
      </c>
      <c r="B86" s="15" t="s">
        <v>90</v>
      </c>
      <c r="C86" s="34"/>
      <c r="D86" s="34"/>
      <c r="E86" s="34"/>
      <c r="F86" s="34"/>
      <c r="G86" s="34"/>
      <c r="H86" s="34"/>
      <c r="I86" s="34"/>
      <c r="J86" s="34"/>
      <c r="K86" s="34"/>
      <c r="L86" s="34"/>
      <c r="M86" s="43">
        <f t="shared" si="19"/>
        <v>0</v>
      </c>
      <c r="N86" s="34"/>
      <c r="O86" s="34"/>
      <c r="P86" s="34"/>
      <c r="Q86" s="34"/>
      <c r="R86" s="34"/>
      <c r="S86" s="34"/>
      <c r="T86" s="34"/>
      <c r="U86" s="43">
        <f t="shared" si="20"/>
        <v>0</v>
      </c>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44"/>
      <c r="BE86" s="34"/>
      <c r="BF86" s="43">
        <f t="shared" si="18"/>
        <v>0</v>
      </c>
      <c r="BG86" s="34"/>
      <c r="BH86" s="34"/>
      <c r="BI86" s="34"/>
      <c r="BJ86" s="34">
        <v>238000</v>
      </c>
      <c r="BK86" s="34"/>
      <c r="BL86" s="34"/>
      <c r="BM86" s="34"/>
      <c r="BN86" s="34"/>
      <c r="BO86" s="34"/>
      <c r="BP86" s="34"/>
      <c r="BQ86" s="34"/>
      <c r="BR86" s="34"/>
      <c r="BS86" s="34"/>
      <c r="BT86" s="34"/>
      <c r="BU86" s="34"/>
      <c r="BV86" s="34"/>
      <c r="BW86" s="34"/>
      <c r="BX86" s="34"/>
      <c r="BY86" s="34"/>
      <c r="BZ86" s="34"/>
      <c r="CA86" s="34"/>
      <c r="CB86" s="34"/>
      <c r="CC86" s="34"/>
      <c r="CD86" s="34"/>
      <c r="CE86" s="44"/>
      <c r="CF86" s="44"/>
      <c r="CG86" s="44"/>
      <c r="CH86" s="44"/>
      <c r="CI86" s="43">
        <f t="shared" si="21"/>
        <v>238000</v>
      </c>
    </row>
    <row r="87" spans="1:87" s="16" customFormat="1" ht="74.25" customHeight="1" x14ac:dyDescent="0.8">
      <c r="A87" s="14" t="s">
        <v>11</v>
      </c>
      <c r="B87" s="15" t="s">
        <v>12</v>
      </c>
      <c r="C87" s="34"/>
      <c r="D87" s="34"/>
      <c r="E87" s="34"/>
      <c r="F87" s="34"/>
      <c r="G87" s="34"/>
      <c r="H87" s="33"/>
      <c r="I87" s="33">
        <f>5812890-5759720-53170</f>
        <v>0</v>
      </c>
      <c r="J87" s="33"/>
      <c r="K87" s="33">
        <f>9000000-9000000</f>
        <v>0</v>
      </c>
      <c r="L87" s="33">
        <f>38468000-15963435.75-510891.69-17990048.31-1125844.41-2877779+1725031.98+11917445.33-1993573.05-11648116.9</f>
        <v>788.19999999925494</v>
      </c>
      <c r="M87" s="43">
        <f t="shared" si="19"/>
        <v>0</v>
      </c>
      <c r="N87" s="33"/>
      <c r="O87" s="33"/>
      <c r="P87" s="33"/>
      <c r="Q87" s="33"/>
      <c r="R87" s="33"/>
      <c r="S87" s="33"/>
      <c r="T87" s="33"/>
      <c r="U87" s="43">
        <f t="shared" si="20"/>
        <v>0</v>
      </c>
      <c r="V87" s="33"/>
      <c r="W87" s="33"/>
      <c r="X87" s="33"/>
      <c r="Y87" s="33"/>
      <c r="Z87" s="33"/>
      <c r="AA87" s="33"/>
      <c r="AB87" s="33"/>
      <c r="AC87" s="33"/>
      <c r="AD87" s="33"/>
      <c r="AE87" s="33"/>
      <c r="AF87" s="33">
        <f>16702100-16702100</f>
        <v>0</v>
      </c>
      <c r="AG87" s="33">
        <f>86</f>
        <v>86</v>
      </c>
      <c r="AH87" s="33"/>
      <c r="AI87" s="33"/>
      <c r="AJ87" s="33">
        <f>89760000-74821906.21+55000000</f>
        <v>69938093.790000007</v>
      </c>
      <c r="AK87" s="33"/>
      <c r="AL87" s="33"/>
      <c r="AM87" s="33"/>
      <c r="AN87" s="33"/>
      <c r="AO87" s="33"/>
      <c r="AP87" s="33"/>
      <c r="AQ87" s="33"/>
      <c r="AR87" s="33"/>
      <c r="AS87" s="33"/>
      <c r="AT87" s="33"/>
      <c r="AU87" s="33">
        <f>5000000-4500000-500000</f>
        <v>0</v>
      </c>
      <c r="AV87" s="33"/>
      <c r="AW87" s="33">
        <v>34.58</v>
      </c>
      <c r="AX87" s="33">
        <v>0.96</v>
      </c>
      <c r="AY87" s="33"/>
      <c r="AZ87" s="33">
        <f>2000000-2000000</f>
        <v>0</v>
      </c>
      <c r="BA87" s="33">
        <f>10000000-5000000-5000000</f>
        <v>0</v>
      </c>
      <c r="BB87" s="33">
        <f>5000000-225402.8+80000-4854590</f>
        <v>7.2000000001862645</v>
      </c>
      <c r="BC87" s="33"/>
      <c r="BD87" s="43"/>
      <c r="BE87" s="33"/>
      <c r="BF87" s="43">
        <f t="shared" si="18"/>
        <v>69939010.730000004</v>
      </c>
      <c r="BG87" s="33"/>
      <c r="BH87" s="33"/>
      <c r="BI87" s="33"/>
      <c r="BJ87" s="33"/>
      <c r="BK87" s="33"/>
      <c r="BL87" s="33"/>
      <c r="BM87" s="33"/>
      <c r="BN87" s="33"/>
      <c r="BO87" s="33"/>
      <c r="BP87" s="33"/>
      <c r="BQ87" s="33"/>
      <c r="BR87" s="33"/>
      <c r="BS87" s="33"/>
      <c r="BT87" s="33"/>
      <c r="BU87" s="33"/>
      <c r="BV87" s="33"/>
      <c r="BW87" s="33"/>
      <c r="BX87" s="33"/>
      <c r="BY87" s="33"/>
      <c r="BZ87" s="33"/>
      <c r="CA87" s="33"/>
      <c r="CB87" s="33"/>
      <c r="CC87" s="33"/>
      <c r="CD87" s="33"/>
      <c r="CE87" s="43"/>
      <c r="CF87" s="43"/>
      <c r="CG87" s="43"/>
      <c r="CH87" s="43"/>
      <c r="CI87" s="43">
        <f t="shared" si="21"/>
        <v>0</v>
      </c>
    </row>
    <row r="88" spans="1:87" s="16" customFormat="1" ht="74.25" customHeight="1" x14ac:dyDescent="0.8">
      <c r="A88" s="14"/>
      <c r="B88" s="15" t="s">
        <v>13</v>
      </c>
      <c r="C88" s="34">
        <v>453342000</v>
      </c>
      <c r="D88" s="34"/>
      <c r="E88" s="34"/>
      <c r="F88" s="34"/>
      <c r="G88" s="34"/>
      <c r="H88" s="33"/>
      <c r="I88" s="33"/>
      <c r="J88" s="33"/>
      <c r="K88" s="33"/>
      <c r="L88" s="33"/>
      <c r="M88" s="43">
        <f t="shared" si="19"/>
        <v>0</v>
      </c>
      <c r="N88" s="33"/>
      <c r="O88" s="33"/>
      <c r="P88" s="33"/>
      <c r="Q88" s="33"/>
      <c r="R88" s="33"/>
      <c r="S88" s="33"/>
      <c r="T88" s="33"/>
      <c r="U88" s="43">
        <f t="shared" si="20"/>
        <v>0</v>
      </c>
      <c r="V88" s="33"/>
      <c r="W88" s="33"/>
      <c r="X88" s="33"/>
      <c r="Y88" s="33"/>
      <c r="Z88" s="33"/>
      <c r="AA88" s="33"/>
      <c r="AB88" s="33"/>
      <c r="AC88" s="33"/>
      <c r="AD88" s="33"/>
      <c r="AE88" s="33"/>
      <c r="AF88" s="33"/>
      <c r="AG88" s="33"/>
      <c r="AH88" s="33"/>
      <c r="AI88" s="33"/>
      <c r="AJ88" s="33"/>
      <c r="AK88" s="33">
        <f>1200000-138758.5</f>
        <v>1061241.5</v>
      </c>
      <c r="AL88" s="33">
        <v>5500000</v>
      </c>
      <c r="AM88" s="33">
        <v>800000</v>
      </c>
      <c r="AN88" s="33">
        <f>6000000+1015900+111000+200000</f>
        <v>7326900</v>
      </c>
      <c r="AO88" s="33">
        <f>153250700+120773180+40534700+10918120</f>
        <v>325476700</v>
      </c>
      <c r="AP88" s="33">
        <f>456400+3139900+9705200+2000000+5000000</f>
        <v>20301500</v>
      </c>
      <c r="AQ88" s="33">
        <v>5000000</v>
      </c>
      <c r="AR88" s="33">
        <f>4500000+13000000</f>
        <v>17500000</v>
      </c>
      <c r="AS88" s="33">
        <f>1500000+900000</f>
        <v>2400000</v>
      </c>
      <c r="AT88" s="33">
        <f>4000000-1015900-111000-200000</f>
        <v>2673100</v>
      </c>
      <c r="AU88" s="33"/>
      <c r="AV88" s="33"/>
      <c r="AW88" s="33"/>
      <c r="AX88" s="33"/>
      <c r="AY88" s="33"/>
      <c r="AZ88" s="33"/>
      <c r="BA88" s="33"/>
      <c r="BB88" s="33"/>
      <c r="BC88" s="33"/>
      <c r="BD88" s="43"/>
      <c r="BE88" s="33"/>
      <c r="BF88" s="43">
        <f t="shared" si="18"/>
        <v>836381441.5</v>
      </c>
      <c r="BG88" s="33"/>
      <c r="BH88" s="33">
        <f>1945059300+48053800+89218900</f>
        <v>2082332000</v>
      </c>
      <c r="BI88" s="33">
        <v>10049200</v>
      </c>
      <c r="BJ88" s="33"/>
      <c r="BK88" s="33"/>
      <c r="BL88" s="33"/>
      <c r="BM88" s="33"/>
      <c r="BN88" s="33"/>
      <c r="BO88" s="33"/>
      <c r="BP88" s="33"/>
      <c r="BQ88" s="33"/>
      <c r="BR88" s="33"/>
      <c r="BS88" s="33"/>
      <c r="BT88" s="33"/>
      <c r="BU88" s="33"/>
      <c r="BV88" s="33"/>
      <c r="BW88" s="33"/>
      <c r="BX88" s="33"/>
      <c r="BY88" s="33"/>
      <c r="BZ88" s="33"/>
      <c r="CA88" s="33"/>
      <c r="CB88" s="33"/>
      <c r="CC88" s="33"/>
      <c r="CD88" s="33"/>
      <c r="CE88" s="43"/>
      <c r="CF88" s="43"/>
      <c r="CG88" s="43"/>
      <c r="CH88" s="43"/>
      <c r="CI88" s="43">
        <f t="shared" si="21"/>
        <v>2092381200</v>
      </c>
    </row>
    <row r="89" spans="1:87" s="17" customFormat="1" ht="74.25" customHeight="1" x14ac:dyDescent="0.8">
      <c r="A89" s="14"/>
      <c r="B89" s="15" t="s">
        <v>246</v>
      </c>
      <c r="C89" s="33">
        <f t="shared" ref="C89:BC89" si="26">C25+C48+C87+C88+C84+C85+C86</f>
        <v>453342000</v>
      </c>
      <c r="D89" s="33">
        <f t="shared" si="26"/>
        <v>5307000</v>
      </c>
      <c r="E89" s="33">
        <f t="shared" si="26"/>
        <v>3756316000</v>
      </c>
      <c r="F89" s="33">
        <f t="shared" si="26"/>
        <v>5357856600</v>
      </c>
      <c r="G89" s="33">
        <f t="shared" si="26"/>
        <v>45758200</v>
      </c>
      <c r="H89" s="33">
        <f t="shared" si="26"/>
        <v>95804600</v>
      </c>
      <c r="I89" s="33">
        <f>I25+I48+I87+I88+I84+I85+I86</f>
        <v>1005200</v>
      </c>
      <c r="J89" s="33">
        <f>J25+J48+J87+J88+J84+J85+J86</f>
        <v>10168155</v>
      </c>
      <c r="K89" s="33">
        <f>K25+K48+K87+K88+K84+K85+K86</f>
        <v>7500000</v>
      </c>
      <c r="L89" s="33">
        <f t="shared" si="26"/>
        <v>38468000</v>
      </c>
      <c r="M89" s="43">
        <f t="shared" si="19"/>
        <v>5257200</v>
      </c>
      <c r="N89" s="33">
        <f>N25+N48+N87+N88+N84+N85+N86</f>
        <v>202200</v>
      </c>
      <c r="O89" s="33">
        <f t="shared" ref="O89:T89" si="27">O25+O48+O87+O88+O84+O85+O86</f>
        <v>1900</v>
      </c>
      <c r="P89" s="33">
        <f t="shared" si="27"/>
        <v>141000</v>
      </c>
      <c r="Q89" s="33">
        <f t="shared" si="27"/>
        <v>200</v>
      </c>
      <c r="R89" s="33">
        <f t="shared" si="27"/>
        <v>4754300</v>
      </c>
      <c r="S89" s="33">
        <f t="shared" si="27"/>
        <v>140400</v>
      </c>
      <c r="T89" s="33">
        <f t="shared" si="27"/>
        <v>17200</v>
      </c>
      <c r="U89" s="43">
        <f t="shared" si="20"/>
        <v>102522016</v>
      </c>
      <c r="V89" s="33">
        <f t="shared" si="26"/>
        <v>300000</v>
      </c>
      <c r="W89" s="33">
        <f t="shared" si="26"/>
        <v>12598942</v>
      </c>
      <c r="X89" s="33">
        <f t="shared" si="26"/>
        <v>5309748</v>
      </c>
      <c r="Y89" s="33">
        <f>Y25+Y48+Y87+Y88+Y84+Y85+Y86</f>
        <v>18750000</v>
      </c>
      <c r="Z89" s="33">
        <f t="shared" si="26"/>
        <v>31794110</v>
      </c>
      <c r="AA89" s="33">
        <f t="shared" si="26"/>
        <v>325416</v>
      </c>
      <c r="AB89" s="33">
        <f t="shared" si="26"/>
        <v>1761630</v>
      </c>
      <c r="AC89" s="33">
        <f t="shared" si="26"/>
        <v>5038370</v>
      </c>
      <c r="AD89" s="33">
        <f t="shared" si="26"/>
        <v>26643800</v>
      </c>
      <c r="AE89" s="33">
        <f t="shared" si="26"/>
        <v>36493100</v>
      </c>
      <c r="AF89" s="33">
        <f t="shared" si="26"/>
        <v>58457400</v>
      </c>
      <c r="AG89" s="33">
        <f t="shared" si="26"/>
        <v>24881890</v>
      </c>
      <c r="AH89" s="33">
        <f>AH25+AH48+AH87+AH88+AH84+AH85+AH86</f>
        <v>65672200</v>
      </c>
      <c r="AI89" s="33">
        <f t="shared" si="26"/>
        <v>8000000</v>
      </c>
      <c r="AJ89" s="33">
        <f t="shared" si="26"/>
        <v>144760000</v>
      </c>
      <c r="AK89" s="33">
        <f t="shared" si="26"/>
        <v>1061241.5</v>
      </c>
      <c r="AL89" s="33">
        <f t="shared" si="26"/>
        <v>5500000</v>
      </c>
      <c r="AM89" s="33">
        <f t="shared" si="26"/>
        <v>800000</v>
      </c>
      <c r="AN89" s="33">
        <f t="shared" si="26"/>
        <v>7326900</v>
      </c>
      <c r="AO89" s="33">
        <f t="shared" si="26"/>
        <v>325476700</v>
      </c>
      <c r="AP89" s="33">
        <f t="shared" si="26"/>
        <v>20301500</v>
      </c>
      <c r="AQ89" s="33">
        <f t="shared" si="26"/>
        <v>5000000</v>
      </c>
      <c r="AR89" s="33">
        <f t="shared" si="26"/>
        <v>17500000</v>
      </c>
      <c r="AS89" s="33">
        <f t="shared" si="26"/>
        <v>2400000</v>
      </c>
      <c r="AT89" s="33">
        <f t="shared" si="26"/>
        <v>2673100</v>
      </c>
      <c r="AU89" s="33">
        <f t="shared" si="26"/>
        <v>31000000</v>
      </c>
      <c r="AV89" s="33">
        <f t="shared" si="26"/>
        <v>60000000</v>
      </c>
      <c r="AW89" s="33">
        <f t="shared" si="26"/>
        <v>1000000</v>
      </c>
      <c r="AX89" s="33">
        <f>AX25+AX48+AX87+AX88+AX84+AX85+AX86</f>
        <v>1000000</v>
      </c>
      <c r="AY89" s="33">
        <f>AY25+AY48+AY87+AY88+AY84+AY85+AY86</f>
        <v>52000</v>
      </c>
      <c r="AZ89" s="33">
        <f t="shared" si="26"/>
        <v>4116000</v>
      </c>
      <c r="BA89" s="33">
        <f t="shared" si="26"/>
        <v>6000000</v>
      </c>
      <c r="BB89" s="33">
        <f>BB25+BB48+BB87+BB88+BB84+BB85+BB86</f>
        <v>11000000</v>
      </c>
      <c r="BC89" s="33">
        <f t="shared" si="26"/>
        <v>2500000</v>
      </c>
      <c r="BD89" s="33">
        <f>BD25+BD48+BD87+BD88+BD84+BD85+BD86</f>
        <v>400000</v>
      </c>
      <c r="BE89" s="33">
        <f>BE25+BE48+BE87+BE88+BE84+BE85+BE86</f>
        <v>36402224</v>
      </c>
      <c r="BF89" s="43">
        <f t="shared" si="18"/>
        <v>10754079226.5</v>
      </c>
      <c r="BG89" s="33">
        <f t="shared" ref="BG89:CD89" si="28">BG25+BG48+BG87+BG88+BG84+BG85+BG86</f>
        <v>32100</v>
      </c>
      <c r="BH89" s="33">
        <f t="shared" si="28"/>
        <v>2087380500</v>
      </c>
      <c r="BI89" s="33">
        <f t="shared" si="28"/>
        <v>21709300</v>
      </c>
      <c r="BJ89" s="33">
        <f t="shared" si="28"/>
        <v>499926</v>
      </c>
      <c r="BK89" s="33">
        <f t="shared" si="28"/>
        <v>106411271</v>
      </c>
      <c r="BL89" s="33">
        <f>BL25+BL48+BL87+BL88+BL84+BL85+BL86</f>
        <v>1221410</v>
      </c>
      <c r="BM89" s="33">
        <f>BM25+BM48+BM87+BM88+BM84+BM85+BM86</f>
        <v>58500</v>
      </c>
      <c r="BN89" s="33">
        <f t="shared" si="28"/>
        <v>907000</v>
      </c>
      <c r="BO89" s="33">
        <f>BO25+BO48+BO87+BO88+BO84+BO85+BO86</f>
        <v>2504261</v>
      </c>
      <c r="BP89" s="33">
        <f>BP25+BP48+BP87+BP88+BP84+BP85+BP86</f>
        <v>219800</v>
      </c>
      <c r="BQ89" s="33">
        <f>BQ25+BQ48+BQ87+BQ88+BQ84+BQ85+BQ86</f>
        <v>52500</v>
      </c>
      <c r="BR89" s="33">
        <f t="shared" si="28"/>
        <v>1891910</v>
      </c>
      <c r="BS89" s="33">
        <f>BS25+BS48+BS87+BS88+BS84+BS85+BS86</f>
        <v>1350000</v>
      </c>
      <c r="BT89" s="33">
        <f>BT48+BT25+BT84+BT85+BT86+BT87+BT88</f>
        <v>2150000</v>
      </c>
      <c r="BU89" s="33">
        <f>BU25+BU48+BU87+BU88+BU84+BU85+BU86</f>
        <v>900000</v>
      </c>
      <c r="BV89" s="33">
        <f>BV25+BV48+BV87+BV88+BV84+BV85+BV86</f>
        <v>3014000</v>
      </c>
      <c r="BW89" s="33">
        <f t="shared" si="28"/>
        <v>945262</v>
      </c>
      <c r="BX89" s="33">
        <f t="shared" si="28"/>
        <v>40000</v>
      </c>
      <c r="BY89" s="33">
        <f t="shared" si="28"/>
        <v>727700</v>
      </c>
      <c r="BZ89" s="33">
        <f t="shared" si="28"/>
        <v>40000000</v>
      </c>
      <c r="CA89" s="33">
        <f>CA25+CA48+CA87+CA88+CA84+CA85+CA86</f>
        <v>5000000</v>
      </c>
      <c r="CB89" s="33">
        <f>CB25+CB48+CB87+CB88+CB84+CB85+CB86</f>
        <v>0</v>
      </c>
      <c r="CC89" s="33">
        <f t="shared" si="28"/>
        <v>2955547</v>
      </c>
      <c r="CD89" s="33">
        <f t="shared" si="28"/>
        <v>13500000</v>
      </c>
      <c r="CE89" s="33">
        <f>CE25+CE48+CE87+CE88+CE84+CE85+CE86</f>
        <v>2000000</v>
      </c>
      <c r="CF89" s="33">
        <f>CF25+CF48+CF87+CF88+CF84+CF85+CF86</f>
        <v>15127000</v>
      </c>
      <c r="CG89" s="33">
        <f>CG25+CG48+CG87+CG88+CG84+CG85+CG86</f>
        <v>15127000</v>
      </c>
      <c r="CH89" s="33">
        <f>CH25+CH48+CH87+CH88+CH84+CH85+CH86</f>
        <v>500000</v>
      </c>
      <c r="CI89" s="43">
        <f t="shared" si="21"/>
        <v>2311097987</v>
      </c>
    </row>
    <row r="90" spans="1:87" s="22" customFormat="1" ht="36" customHeight="1" x14ac:dyDescent="0.8">
      <c r="A90" s="18"/>
      <c r="B90" s="19"/>
      <c r="C90" s="19"/>
      <c r="D90" s="19"/>
      <c r="E90" s="21"/>
      <c r="F90" s="21"/>
      <c r="G90" s="21"/>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row>
    <row r="91" spans="1:87" s="22" customFormat="1" ht="141.75" customHeight="1" x14ac:dyDescent="0.8">
      <c r="A91" s="18"/>
      <c r="B91" s="19"/>
      <c r="C91" s="19"/>
      <c r="D91" s="19"/>
      <c r="E91" s="21"/>
      <c r="F91" s="21"/>
      <c r="G91" s="21"/>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row>
    <row r="92" spans="1:87" s="25" customFormat="1" ht="81.75" customHeight="1" x14ac:dyDescent="1.05">
      <c r="A92" s="23"/>
      <c r="B92" s="23"/>
      <c r="C92" s="23"/>
      <c r="D92" s="23"/>
      <c r="E92" s="24"/>
      <c r="F92" s="24"/>
      <c r="G92" s="24"/>
      <c r="AE92" s="30"/>
      <c r="AF92" s="30"/>
      <c r="AG92" s="30"/>
      <c r="AH92" s="30"/>
      <c r="AI92" s="30"/>
      <c r="AJ92" s="30"/>
      <c r="AK92" s="30"/>
      <c r="AL92" s="30"/>
      <c r="AM92" s="30"/>
      <c r="AN92" s="30"/>
      <c r="AO92" s="30"/>
      <c r="AP92" s="30"/>
      <c r="AQ92" s="30"/>
      <c r="AR92" s="30"/>
      <c r="AS92" s="30"/>
      <c r="AT92" s="30"/>
      <c r="AV92" s="30"/>
      <c r="AW92" s="30"/>
      <c r="AX92" s="30"/>
      <c r="AY92" s="30"/>
      <c r="AZ92" s="31"/>
      <c r="BD92" s="31"/>
      <c r="BE92" s="31"/>
      <c r="BH92" s="30"/>
      <c r="BI92" s="30"/>
      <c r="BJ92" s="30"/>
      <c r="BK92" s="30"/>
      <c r="BR92" s="53"/>
      <c r="BS92" s="53"/>
      <c r="BT92" s="53"/>
      <c r="BU92" s="53"/>
      <c r="BV92" s="53"/>
      <c r="BW92" s="53"/>
      <c r="BX92" s="40"/>
      <c r="BY92" s="40"/>
      <c r="CA92" s="51"/>
      <c r="CB92" s="55" t="s">
        <v>127</v>
      </c>
      <c r="CC92" s="55"/>
      <c r="CD92" s="55"/>
      <c r="CE92" s="55"/>
      <c r="CF92" s="46"/>
      <c r="CG92" s="46"/>
      <c r="CH92" s="46" t="s">
        <v>247</v>
      </c>
      <c r="CI92" s="32"/>
    </row>
    <row r="93" spans="1:87" ht="25.5" x14ac:dyDescent="0.35">
      <c r="A93" s="26"/>
      <c r="B93" s="26"/>
      <c r="C93" s="26"/>
      <c r="D93" s="26"/>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BF93" s="28"/>
    </row>
    <row r="94" spans="1:87" ht="25.5" x14ac:dyDescent="0.35">
      <c r="A94" s="26"/>
      <c r="B94" s="26"/>
      <c r="C94" s="26"/>
      <c r="D94" s="26"/>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row>
    <row r="95" spans="1:87" ht="25.5" x14ac:dyDescent="0.35">
      <c r="A95" s="26"/>
      <c r="B95" s="26"/>
      <c r="C95" s="26"/>
      <c r="D95" s="26"/>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row>
    <row r="96" spans="1:87" ht="25.5" x14ac:dyDescent="0.35">
      <c r="A96" s="26"/>
      <c r="B96" s="26"/>
      <c r="C96" s="26"/>
      <c r="D96" s="26"/>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row>
    <row r="97" spans="1:46" ht="25.5" x14ac:dyDescent="0.35">
      <c r="A97" s="26"/>
      <c r="B97" s="26"/>
      <c r="C97" s="26"/>
      <c r="D97" s="26"/>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row>
    <row r="98" spans="1:46" ht="25.5" x14ac:dyDescent="0.35">
      <c r="A98" s="26"/>
      <c r="B98" s="26"/>
      <c r="C98" s="26"/>
      <c r="D98" s="26"/>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row>
    <row r="99" spans="1:46" ht="25.5" x14ac:dyDescent="0.35">
      <c r="A99" s="26"/>
      <c r="B99" s="26"/>
      <c r="C99" s="26"/>
      <c r="D99" s="26"/>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row>
    <row r="100" spans="1:46" ht="25.5" x14ac:dyDescent="0.35">
      <c r="A100" s="26"/>
      <c r="B100" s="26"/>
      <c r="C100" s="26"/>
      <c r="D100" s="26"/>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row>
    <row r="101" spans="1:46" ht="25.5" x14ac:dyDescent="0.35">
      <c r="A101" s="26"/>
      <c r="B101" s="26"/>
      <c r="C101" s="26"/>
      <c r="D101" s="26"/>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row>
    <row r="102" spans="1:46" ht="25.5" x14ac:dyDescent="0.35">
      <c r="A102" s="26"/>
      <c r="B102" s="26"/>
      <c r="C102" s="26"/>
      <c r="D102" s="26"/>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row>
    <row r="103" spans="1:46" ht="25.5" x14ac:dyDescent="0.35">
      <c r="A103" s="26"/>
      <c r="B103" s="26"/>
      <c r="C103" s="26"/>
      <c r="D103" s="26"/>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row>
    <row r="104" spans="1:46" ht="25.5" x14ac:dyDescent="0.35">
      <c r="A104" s="26"/>
      <c r="B104" s="26"/>
      <c r="C104" s="26"/>
      <c r="D104" s="26"/>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row>
    <row r="105" spans="1:46" ht="25.5" x14ac:dyDescent="0.35">
      <c r="A105" s="26"/>
      <c r="B105" s="26"/>
      <c r="C105" s="26"/>
      <c r="D105" s="26"/>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row>
    <row r="106" spans="1:46" ht="25.5" x14ac:dyDescent="0.35">
      <c r="A106" s="26"/>
      <c r="B106" s="26"/>
      <c r="C106" s="26"/>
      <c r="D106" s="26"/>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row>
    <row r="107" spans="1:46" ht="25.5" x14ac:dyDescent="0.35">
      <c r="A107" s="26"/>
      <c r="B107" s="26"/>
      <c r="C107" s="26"/>
      <c r="D107" s="26"/>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row>
    <row r="108" spans="1:46" ht="25.5" x14ac:dyDescent="0.35">
      <c r="A108" s="26"/>
      <c r="B108" s="26"/>
      <c r="C108" s="26"/>
      <c r="D108" s="26"/>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row>
    <row r="109" spans="1:46" ht="25.5" x14ac:dyDescent="0.35">
      <c r="A109" s="26"/>
      <c r="B109" s="26"/>
      <c r="C109" s="26"/>
      <c r="D109" s="26"/>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row>
    <row r="110" spans="1:46" ht="25.5" x14ac:dyDescent="0.35">
      <c r="A110" s="26"/>
      <c r="B110" s="26"/>
      <c r="C110" s="26"/>
      <c r="D110" s="26"/>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row>
    <row r="111" spans="1:46" ht="25.5" x14ac:dyDescent="0.35">
      <c r="A111" s="26"/>
      <c r="B111" s="26"/>
      <c r="C111" s="26"/>
      <c r="D111" s="26"/>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row>
    <row r="112" spans="1:46" x14ac:dyDescent="0.2">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row>
    <row r="113" spans="8:46" x14ac:dyDescent="0.2">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row>
    <row r="114" spans="8:46" x14ac:dyDescent="0.2">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row>
    <row r="115" spans="8:46" x14ac:dyDescent="0.2">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row>
    <row r="116" spans="8:46" x14ac:dyDescent="0.2">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row>
    <row r="117" spans="8:46" x14ac:dyDescent="0.2">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row>
    <row r="118" spans="8:46" x14ac:dyDescent="0.2">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row>
    <row r="119" spans="8:46" x14ac:dyDescent="0.2">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row>
    <row r="120" spans="8:46" x14ac:dyDescent="0.2">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row>
    <row r="121" spans="8:46" x14ac:dyDescent="0.2">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row>
    <row r="122" spans="8:46" x14ac:dyDescent="0.2">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row>
    <row r="123" spans="8:46" x14ac:dyDescent="0.2">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row>
    <row r="124" spans="8:46" x14ac:dyDescent="0.2">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row>
    <row r="125" spans="8:46" x14ac:dyDescent="0.2">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row>
    <row r="126" spans="8:46" x14ac:dyDescent="0.2">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row>
    <row r="127" spans="8:46" x14ac:dyDescent="0.2">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row>
    <row r="128" spans="8:46" x14ac:dyDescent="0.2">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row>
    <row r="129" spans="8:46" x14ac:dyDescent="0.2">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row>
    <row r="130" spans="8:46" x14ac:dyDescent="0.2">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row>
    <row r="131" spans="8:46" x14ac:dyDescent="0.2">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row>
    <row r="132" spans="8:46" x14ac:dyDescent="0.2">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row>
    <row r="133" spans="8:46" x14ac:dyDescent="0.2">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row>
    <row r="134" spans="8:46" x14ac:dyDescent="0.2">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row>
    <row r="135" spans="8:46" x14ac:dyDescent="0.2">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row>
    <row r="136" spans="8:46" x14ac:dyDescent="0.2">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row>
    <row r="137" spans="8:46" x14ac:dyDescent="0.2">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row>
    <row r="138" spans="8:46" x14ac:dyDescent="0.2">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row>
    <row r="139" spans="8:46" x14ac:dyDescent="0.2">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row>
    <row r="140" spans="8:46" x14ac:dyDescent="0.2">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row>
    <row r="141" spans="8:46" x14ac:dyDescent="0.2">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row>
    <row r="142" spans="8:46" x14ac:dyDescent="0.2">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row>
    <row r="143" spans="8:46" x14ac:dyDescent="0.2">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row>
    <row r="144" spans="8:46" x14ac:dyDescent="0.2">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row>
    <row r="145" spans="8:46" x14ac:dyDescent="0.2">
      <c r="H145" s="27"/>
      <c r="I145" s="27"/>
      <c r="J145" s="27"/>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row>
    <row r="146" spans="8:46" x14ac:dyDescent="0.2">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row>
    <row r="147" spans="8:46" x14ac:dyDescent="0.2">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row>
    <row r="148" spans="8:46" x14ac:dyDescent="0.2">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row>
    <row r="149" spans="8:46" x14ac:dyDescent="0.2">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row>
    <row r="150" spans="8:46" x14ac:dyDescent="0.2">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row>
    <row r="151" spans="8:46" x14ac:dyDescent="0.2">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row>
    <row r="152" spans="8:46" x14ac:dyDescent="0.2">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row>
    <row r="153" spans="8:46" x14ac:dyDescent="0.2">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row>
    <row r="154" spans="8:46" x14ac:dyDescent="0.2">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row>
    <row r="155" spans="8:46" x14ac:dyDescent="0.2">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row>
    <row r="156" spans="8:46" x14ac:dyDescent="0.2">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row>
    <row r="157" spans="8:46" x14ac:dyDescent="0.2">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row>
    <row r="158" spans="8:46" x14ac:dyDescent="0.2">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row>
    <row r="159" spans="8:46" x14ac:dyDescent="0.2">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row>
    <row r="160" spans="8:46" x14ac:dyDescent="0.2">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row>
    <row r="161" spans="8:46" x14ac:dyDescent="0.2">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row>
    <row r="162" spans="8:46" x14ac:dyDescent="0.2">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row>
    <row r="163" spans="8:46" x14ac:dyDescent="0.2">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row>
    <row r="164" spans="8:46" x14ac:dyDescent="0.2">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row>
    <row r="165" spans="8:46" x14ac:dyDescent="0.2">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row>
    <row r="166" spans="8:46" x14ac:dyDescent="0.2">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row>
    <row r="167" spans="8:46" x14ac:dyDescent="0.2">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row>
    <row r="168" spans="8:46" x14ac:dyDescent="0.2">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row>
    <row r="169" spans="8:46" x14ac:dyDescent="0.2">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row>
    <row r="170" spans="8:46" x14ac:dyDescent="0.2">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row>
    <row r="171" spans="8:46" x14ac:dyDescent="0.2">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row>
    <row r="172" spans="8:46" x14ac:dyDescent="0.2">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row>
    <row r="173" spans="8:46" x14ac:dyDescent="0.2">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row>
    <row r="174" spans="8:46" x14ac:dyDescent="0.2">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row>
    <row r="175" spans="8:46" x14ac:dyDescent="0.2">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row>
    <row r="176" spans="8:46" x14ac:dyDescent="0.2">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row>
    <row r="177" spans="8:46" x14ac:dyDescent="0.2">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row>
    <row r="178" spans="8:46" x14ac:dyDescent="0.2">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row>
    <row r="179" spans="8:46" x14ac:dyDescent="0.2">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row>
    <row r="180" spans="8:46" x14ac:dyDescent="0.2">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row>
    <row r="181" spans="8:46" x14ac:dyDescent="0.2">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row>
    <row r="182" spans="8:46" x14ac:dyDescent="0.2">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row>
    <row r="183" spans="8:46" x14ac:dyDescent="0.2">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row>
    <row r="184" spans="8:46" x14ac:dyDescent="0.2">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row>
    <row r="185" spans="8:46" x14ac:dyDescent="0.2">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row>
    <row r="186" spans="8:46" x14ac:dyDescent="0.2">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row>
    <row r="187" spans="8:46" x14ac:dyDescent="0.2">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row>
    <row r="188" spans="8:46" x14ac:dyDescent="0.2">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row>
    <row r="189" spans="8:46" x14ac:dyDescent="0.2">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row>
    <row r="190" spans="8:46" x14ac:dyDescent="0.2">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row>
    <row r="191" spans="8:46" x14ac:dyDescent="0.2">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row>
    <row r="192" spans="8:46" x14ac:dyDescent="0.2">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row>
    <row r="193" spans="8:46" x14ac:dyDescent="0.2">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row>
    <row r="194" spans="8:46" x14ac:dyDescent="0.2">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row>
    <row r="195" spans="8:46" x14ac:dyDescent="0.2">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row>
    <row r="196" spans="8:46" x14ac:dyDescent="0.2">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row>
    <row r="197" spans="8:46" x14ac:dyDescent="0.2">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row>
    <row r="198" spans="8:46" x14ac:dyDescent="0.2">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row>
    <row r="199" spans="8:46" x14ac:dyDescent="0.2">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row>
    <row r="200" spans="8:46" x14ac:dyDescent="0.2">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row>
    <row r="201" spans="8:46" x14ac:dyDescent="0.2">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row>
    <row r="202" spans="8:46" x14ac:dyDescent="0.2">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row>
    <row r="203" spans="8:46" x14ac:dyDescent="0.2">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row>
    <row r="204" spans="8:46" x14ac:dyDescent="0.2">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row>
    <row r="205" spans="8:46" x14ac:dyDescent="0.2">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row>
    <row r="206" spans="8:46" x14ac:dyDescent="0.2">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row>
    <row r="207" spans="8:46" x14ac:dyDescent="0.2">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row>
    <row r="208" spans="8:46" x14ac:dyDescent="0.2">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row>
    <row r="209" spans="8:46" x14ac:dyDescent="0.2">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row>
    <row r="210" spans="8:46" x14ac:dyDescent="0.2">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row>
    <row r="211" spans="8:46" x14ac:dyDescent="0.2">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row>
    <row r="212" spans="8:46" x14ac:dyDescent="0.2">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row>
    <row r="213" spans="8:46" x14ac:dyDescent="0.2">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row>
    <row r="214" spans="8:46" x14ac:dyDescent="0.2">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row>
    <row r="215" spans="8:46" x14ac:dyDescent="0.2">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row>
    <row r="216" spans="8:46" x14ac:dyDescent="0.2">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row>
    <row r="217" spans="8:46" x14ac:dyDescent="0.2">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row>
    <row r="218" spans="8:46" x14ac:dyDescent="0.2">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row>
    <row r="219" spans="8:46" x14ac:dyDescent="0.2">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row>
    <row r="220" spans="8:46" x14ac:dyDescent="0.2">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row>
    <row r="221" spans="8:46" x14ac:dyDescent="0.2">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row>
    <row r="222" spans="8:46" x14ac:dyDescent="0.2">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row>
    <row r="223" spans="8:46" x14ac:dyDescent="0.2">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row>
    <row r="224" spans="8:46" x14ac:dyDescent="0.2">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row>
    <row r="225" spans="8:46" x14ac:dyDescent="0.2">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row>
    <row r="226" spans="8:46" x14ac:dyDescent="0.2">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row>
    <row r="227" spans="8:46" x14ac:dyDescent="0.2">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row>
    <row r="228" spans="8:46" x14ac:dyDescent="0.2">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row>
    <row r="229" spans="8:46" x14ac:dyDescent="0.2">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row>
    <row r="230" spans="8:46" x14ac:dyDescent="0.2">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row>
    <row r="231" spans="8:46" x14ac:dyDescent="0.2">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row>
    <row r="232" spans="8:46" x14ac:dyDescent="0.2">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row>
    <row r="233" spans="8:46" x14ac:dyDescent="0.2">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row>
    <row r="234" spans="8:46" x14ac:dyDescent="0.2">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row>
    <row r="235" spans="8:46" x14ac:dyDescent="0.2">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row>
    <row r="236" spans="8:46" x14ac:dyDescent="0.2">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row>
    <row r="237" spans="8:46" x14ac:dyDescent="0.2">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row>
    <row r="238" spans="8:46" x14ac:dyDescent="0.2">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row>
    <row r="239" spans="8:46" x14ac:dyDescent="0.2">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row>
    <row r="240" spans="8:46" x14ac:dyDescent="0.2">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row>
    <row r="241" spans="8:46" x14ac:dyDescent="0.2">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row>
    <row r="242" spans="8:46" x14ac:dyDescent="0.2">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I242" s="27"/>
      <c r="AJ242" s="27"/>
      <c r="AK242" s="27"/>
      <c r="AL242" s="27"/>
      <c r="AM242" s="27"/>
      <c r="AN242" s="27"/>
      <c r="AO242" s="27"/>
      <c r="AP242" s="27"/>
      <c r="AQ242" s="27"/>
      <c r="AR242" s="27"/>
      <c r="AS242" s="27"/>
      <c r="AT242" s="27"/>
    </row>
    <row r="243" spans="8:46" x14ac:dyDescent="0.2">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I243" s="27"/>
      <c r="AJ243" s="27"/>
      <c r="AK243" s="27"/>
      <c r="AL243" s="27"/>
      <c r="AM243" s="27"/>
      <c r="AN243" s="27"/>
      <c r="AO243" s="27"/>
      <c r="AP243" s="27"/>
      <c r="AQ243" s="27"/>
      <c r="AR243" s="27"/>
      <c r="AS243" s="27"/>
      <c r="AT243" s="27"/>
    </row>
    <row r="244" spans="8:46" x14ac:dyDescent="0.2">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I244" s="27"/>
      <c r="AJ244" s="27"/>
      <c r="AK244" s="27"/>
      <c r="AL244" s="27"/>
      <c r="AM244" s="27"/>
      <c r="AN244" s="27"/>
      <c r="AO244" s="27"/>
      <c r="AP244" s="27"/>
      <c r="AQ244" s="27"/>
      <c r="AR244" s="27"/>
      <c r="AS244" s="27"/>
      <c r="AT244" s="27"/>
    </row>
    <row r="245" spans="8:46" x14ac:dyDescent="0.2">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I245" s="27"/>
      <c r="AJ245" s="27"/>
      <c r="AK245" s="27"/>
      <c r="AL245" s="27"/>
      <c r="AM245" s="27"/>
      <c r="AN245" s="27"/>
      <c r="AO245" s="27"/>
      <c r="AP245" s="27"/>
      <c r="AQ245" s="27"/>
      <c r="AR245" s="27"/>
      <c r="AS245" s="27"/>
      <c r="AT245" s="27"/>
    </row>
    <row r="246" spans="8:46" x14ac:dyDescent="0.2">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I246" s="27"/>
      <c r="AJ246" s="27"/>
      <c r="AK246" s="27"/>
      <c r="AL246" s="27"/>
      <c r="AM246" s="27"/>
      <c r="AN246" s="27"/>
      <c r="AO246" s="27"/>
      <c r="AP246" s="27"/>
      <c r="AQ246" s="27"/>
      <c r="AR246" s="27"/>
      <c r="AS246" s="27"/>
      <c r="AT246" s="27"/>
    </row>
  </sheetData>
  <sheetProtection selectLockedCells="1" selectUnlockedCells="1"/>
  <mergeCells count="142">
    <mergeCell ref="BQ9:BQ11"/>
    <mergeCell ref="AU6:AY6"/>
    <mergeCell ref="AV7:AY7"/>
    <mergeCell ref="BG5:BM5"/>
    <mergeCell ref="BV6:CA6"/>
    <mergeCell ref="BN7:BT7"/>
    <mergeCell ref="AZ5:BE5"/>
    <mergeCell ref="AZ7:BE7"/>
    <mergeCell ref="BL8:BM8"/>
    <mergeCell ref="BL9:BL11"/>
    <mergeCell ref="AK6:AN6"/>
    <mergeCell ref="BU5:CA5"/>
    <mergeCell ref="BU7:CA7"/>
    <mergeCell ref="BU8:CA8"/>
    <mergeCell ref="BN5:BT5"/>
    <mergeCell ref="AS6:AT6"/>
    <mergeCell ref="AS7:AT7"/>
    <mergeCell ref="BA6:BE6"/>
    <mergeCell ref="BN8:BT8"/>
    <mergeCell ref="BL7:BM7"/>
    <mergeCell ref="CB5:CH5"/>
    <mergeCell ref="AU5:AY5"/>
    <mergeCell ref="M7:T7"/>
    <mergeCell ref="AK5:AR5"/>
    <mergeCell ref="BN6:BT6"/>
    <mergeCell ref="BH7:BJ7"/>
    <mergeCell ref="CB7:CH7"/>
    <mergeCell ref="AO6:AR6"/>
    <mergeCell ref="BG6:BJ6"/>
    <mergeCell ref="CB6:CH6"/>
    <mergeCell ref="V10:V11"/>
    <mergeCell ref="AI6:AJ6"/>
    <mergeCell ref="AE6:AH6"/>
    <mergeCell ref="AC6:AD6"/>
    <mergeCell ref="Z10:Z11"/>
    <mergeCell ref="AE7:AJ7"/>
    <mergeCell ref="V6:AB6"/>
    <mergeCell ref="Y10:Y11"/>
    <mergeCell ref="D5:G5"/>
    <mergeCell ref="M6:T6"/>
    <mergeCell ref="Q10:Q11"/>
    <mergeCell ref="M5:T5"/>
    <mergeCell ref="M8:T8"/>
    <mergeCell ref="U7:AD7"/>
    <mergeCell ref="S10:S11"/>
    <mergeCell ref="U8:AD8"/>
    <mergeCell ref="W10:W11"/>
    <mergeCell ref="AP9:AP11"/>
    <mergeCell ref="AR9:AR11"/>
    <mergeCell ref="AK7:AR7"/>
    <mergeCell ref="AU9:AU11"/>
    <mergeCell ref="AK9:AK11"/>
    <mergeCell ref="AO8:AP8"/>
    <mergeCell ref="AT9:AT11"/>
    <mergeCell ref="AQ10:AQ11"/>
    <mergeCell ref="AM9:AM11"/>
    <mergeCell ref="AS9:AS11"/>
    <mergeCell ref="U9:U11"/>
    <mergeCell ref="N10:N11"/>
    <mergeCell ref="F9:F11"/>
    <mergeCell ref="H9:H11"/>
    <mergeCell ref="H5:L5"/>
    <mergeCell ref="H6:L6"/>
    <mergeCell ref="K9:K11"/>
    <mergeCell ref="I9:I11"/>
    <mergeCell ref="N9:T9"/>
    <mergeCell ref="P10:P11"/>
    <mergeCell ref="AE5:AJ5"/>
    <mergeCell ref="O10:O11"/>
    <mergeCell ref="I7:L7"/>
    <mergeCell ref="D9:D11"/>
    <mergeCell ref="C6:G6"/>
    <mergeCell ref="G9:G11"/>
    <mergeCell ref="AI9:AI11"/>
    <mergeCell ref="AD10:AD11"/>
    <mergeCell ref="R10:R11"/>
    <mergeCell ref="T10:T11"/>
    <mergeCell ref="M9:M11"/>
    <mergeCell ref="A5:A11"/>
    <mergeCell ref="B5:B11"/>
    <mergeCell ref="E9:E11"/>
    <mergeCell ref="C9:C11"/>
    <mergeCell ref="E7:G7"/>
    <mergeCell ref="L9:L11"/>
    <mergeCell ref="J9:J11"/>
    <mergeCell ref="CI5:CI11"/>
    <mergeCell ref="BZ9:BZ11"/>
    <mergeCell ref="CB9:CB11"/>
    <mergeCell ref="BR9:BR11"/>
    <mergeCell ref="CA9:CA11"/>
    <mergeCell ref="BY9:BY11"/>
    <mergeCell ref="BT9:BT11"/>
    <mergeCell ref="CF9:CF11"/>
    <mergeCell ref="CD9:CD11"/>
    <mergeCell ref="BS9:BS11"/>
    <mergeCell ref="BI9:BI11"/>
    <mergeCell ref="BF5:BF11"/>
    <mergeCell ref="AH9:AH11"/>
    <mergeCell ref="V9:AD9"/>
    <mergeCell ref="U5:AD5"/>
    <mergeCell ref="X10:X11"/>
    <mergeCell ref="AF9:AF11"/>
    <mergeCell ref="AJ9:AJ11"/>
    <mergeCell ref="AA10:AA11"/>
    <mergeCell ref="AS5:AT5"/>
    <mergeCell ref="BL6:BM6"/>
    <mergeCell ref="BU9:BU11"/>
    <mergeCell ref="BX9:BX11"/>
    <mergeCell ref="CE9:CE11"/>
    <mergeCell ref="CC9:CC11"/>
    <mergeCell ref="BV9:BV11"/>
    <mergeCell ref="BW9:BW11"/>
    <mergeCell ref="CB8:CH8"/>
    <mergeCell ref="CG10:CG11"/>
    <mergeCell ref="CH10:CH11"/>
    <mergeCell ref="BB9:BB11"/>
    <mergeCell ref="BA9:BA11"/>
    <mergeCell ref="BN9:BN11"/>
    <mergeCell ref="BE9:BE11"/>
    <mergeCell ref="BM9:BM11"/>
    <mergeCell ref="BJ9:BJ11"/>
    <mergeCell ref="BC9:BC11"/>
    <mergeCell ref="BG9:BG11"/>
    <mergeCell ref="BH9:BH11"/>
    <mergeCell ref="BK9:BK11"/>
    <mergeCell ref="AL9:AL11"/>
    <mergeCell ref="AC10:AC11"/>
    <mergeCell ref="AG9:AG11"/>
    <mergeCell ref="AO9:AO11"/>
    <mergeCell ref="AN9:AN11"/>
    <mergeCell ref="AB10:AB11"/>
    <mergeCell ref="AE9:AE11"/>
    <mergeCell ref="BR92:BW92"/>
    <mergeCell ref="BP9:BP11"/>
    <mergeCell ref="CB92:CE92"/>
    <mergeCell ref="AW9:AW11"/>
    <mergeCell ref="AV9:AV11"/>
    <mergeCell ref="BO9:BO11"/>
    <mergeCell ref="AZ9:AZ11"/>
    <mergeCell ref="BD9:BD11"/>
    <mergeCell ref="AX9:AX11"/>
    <mergeCell ref="AY9:AY11"/>
  </mergeCells>
  <phoneticPr fontId="0" type="noConversion"/>
  <printOptions horizontalCentered="1"/>
  <pageMargins left="0.98425196850393704" right="0.39370078740157483" top="0.59055118110236227" bottom="0.59055118110236227" header="0.39370078740157483" footer="0.39370078740157483"/>
  <pageSetup paperSize="9" scale="10" firstPageNumber="0" orientation="portrait" horizontalDpi="300" verticalDpi="300" r:id="rId1"/>
  <headerFooter differentFirst="1" alignWithMargins="0">
    <oddHeader>&amp;C&amp;"Times New Roman,обычный"&amp;54&amp;P</oddHeader>
  </headerFooter>
  <colBreaks count="4" manualBreakCount="4">
    <brk id="12" max="91" man="1"/>
    <brk id="44" max="91" man="1"/>
    <brk id="58" max="91" man="1"/>
    <brk id="65" max="91"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Дод 4</vt:lpstr>
      <vt:lpstr>'Дод 4'!Заголовки_для_печати</vt:lpstr>
      <vt:lpstr>'Дод 4'!Область_печати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2017-12-04T14:59:55Z</cp:lastPrinted>
  <dcterms:created xsi:type="dcterms:W3CDTF">2015-09-22T09:14:37Z</dcterms:created>
  <dcterms:modified xsi:type="dcterms:W3CDTF">2017-12-07T12:28:54Z</dcterms:modified>
</cp:coreProperties>
</file>