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Дод 4" sheetId="5" r:id="rId1"/>
  </sheets>
  <definedNames>
    <definedName name="_xlnm.Print_Titles" localSheetId="0">'Дод 4'!$A:$B,'Дод 4'!$6:$12</definedName>
    <definedName name="_xlnm.Print_Area" localSheetId="0">'Дод 4'!$A$1:$BH$111</definedName>
  </definedNames>
  <calcPr calcId="144525" fullCalcOnLoad="1"/>
</workbook>
</file>

<file path=xl/calcChain.xml><?xml version="1.0" encoding="utf-8"?>
<calcChain xmlns="http://schemas.openxmlformats.org/spreadsheetml/2006/main">
  <c r="P52" i="5" l="1"/>
  <c r="P104" i="5"/>
  <c r="P71" i="5"/>
  <c r="P77" i="5"/>
  <c r="P86" i="5"/>
  <c r="P101" i="5"/>
  <c r="P48" i="5"/>
  <c r="P37" i="5"/>
  <c r="AT26" i="5"/>
  <c r="AT109" i="5"/>
  <c r="AT43" i="5"/>
  <c r="AT49" i="5"/>
  <c r="AT107" i="5"/>
  <c r="AT104" i="5"/>
  <c r="N26" i="5"/>
  <c r="N109" i="5"/>
  <c r="N49" i="5"/>
  <c r="N104" i="5"/>
  <c r="O75" i="5"/>
  <c r="V75" i="5"/>
  <c r="W75" i="5"/>
  <c r="T75" i="5"/>
  <c r="AW75" i="5"/>
  <c r="D49" i="5"/>
  <c r="D104" i="5"/>
  <c r="D109" i="5"/>
  <c r="C26" i="5"/>
  <c r="C49" i="5"/>
  <c r="C108" i="5"/>
  <c r="C104" i="5"/>
  <c r="C109" i="5"/>
  <c r="E104" i="5"/>
  <c r="AW96" i="5"/>
  <c r="E26" i="5"/>
  <c r="E49" i="5"/>
  <c r="F26" i="5"/>
  <c r="F49" i="5"/>
  <c r="F104" i="5"/>
  <c r="G26" i="5"/>
  <c r="G109" i="5"/>
  <c r="G49" i="5"/>
  <c r="G104" i="5"/>
  <c r="H26" i="5"/>
  <c r="H109" i="5"/>
  <c r="H49" i="5"/>
  <c r="H104" i="5"/>
  <c r="I26" i="5"/>
  <c r="I49" i="5"/>
  <c r="I109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48" i="5"/>
  <c r="J47" i="5"/>
  <c r="J46" i="5"/>
  <c r="J45" i="5"/>
  <c r="J44" i="5"/>
  <c r="J43" i="5"/>
  <c r="J42" i="5"/>
  <c r="J41" i="5"/>
  <c r="J40" i="5"/>
  <c r="AW40" i="5"/>
  <c r="W40" i="5"/>
  <c r="T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107" i="5"/>
  <c r="J108" i="5"/>
  <c r="J51" i="5"/>
  <c r="J52" i="5"/>
  <c r="J53" i="5"/>
  <c r="J54" i="5"/>
  <c r="J56" i="5"/>
  <c r="J57" i="5"/>
  <c r="J58" i="5"/>
  <c r="J59" i="5"/>
  <c r="J60" i="5"/>
  <c r="J61" i="5"/>
  <c r="J62" i="5"/>
  <c r="J63" i="5"/>
  <c r="J64" i="5"/>
  <c r="J100" i="5"/>
  <c r="J67" i="5"/>
  <c r="J68" i="5"/>
  <c r="J69" i="5"/>
  <c r="O69" i="5"/>
  <c r="V69" i="5"/>
  <c r="W69" i="5"/>
  <c r="T69" i="5"/>
  <c r="AW69" i="5"/>
  <c r="J71" i="5"/>
  <c r="J74" i="5"/>
  <c r="J77" i="5"/>
  <c r="J79" i="5"/>
  <c r="J80" i="5"/>
  <c r="J81" i="5"/>
  <c r="J82" i="5"/>
  <c r="W82" i="5"/>
  <c r="T82" i="5"/>
  <c r="AW82" i="5"/>
  <c r="J83" i="5"/>
  <c r="J84" i="5"/>
  <c r="J85" i="5"/>
  <c r="J86" i="5"/>
  <c r="J87" i="5"/>
  <c r="J88" i="5"/>
  <c r="J89" i="5"/>
  <c r="J90" i="5"/>
  <c r="J91" i="5"/>
  <c r="T91" i="5"/>
  <c r="AK91" i="5"/>
  <c r="AW91" i="5"/>
  <c r="J92" i="5"/>
  <c r="J93" i="5"/>
  <c r="J94" i="5"/>
  <c r="J95" i="5"/>
  <c r="AW95" i="5"/>
  <c r="T95" i="5"/>
  <c r="AK95" i="5"/>
  <c r="J97" i="5"/>
  <c r="J98" i="5"/>
  <c r="J99" i="5"/>
  <c r="J102" i="5"/>
  <c r="J103" i="5"/>
  <c r="K26" i="5"/>
  <c r="K49" i="5"/>
  <c r="K104" i="5"/>
  <c r="K109" i="5"/>
  <c r="L26" i="5"/>
  <c r="L49" i="5"/>
  <c r="L104" i="5"/>
  <c r="L109" i="5"/>
  <c r="M26" i="5"/>
  <c r="M49" i="5"/>
  <c r="M104" i="5"/>
  <c r="M109" i="5"/>
  <c r="O26" i="5"/>
  <c r="O49" i="5"/>
  <c r="O76" i="5"/>
  <c r="O77" i="5"/>
  <c r="AW77" i="5"/>
  <c r="W77" i="5"/>
  <c r="T77" i="5"/>
  <c r="O86" i="5"/>
  <c r="O92" i="5"/>
  <c r="O104" i="5"/>
  <c r="P26" i="5"/>
  <c r="P46" i="5"/>
  <c r="P34" i="5"/>
  <c r="P32" i="5"/>
  <c r="Q26" i="5"/>
  <c r="Q49" i="5"/>
  <c r="Q104" i="5"/>
  <c r="Q109" i="5"/>
  <c r="R26" i="5"/>
  <c r="R49" i="5"/>
  <c r="R104" i="5"/>
  <c r="R109" i="5"/>
  <c r="S109" i="5"/>
  <c r="U15" i="5"/>
  <c r="U26" i="5"/>
  <c r="U49" i="5"/>
  <c r="U57" i="5"/>
  <c r="U86" i="5"/>
  <c r="V26" i="5"/>
  <c r="V42" i="5"/>
  <c r="V39" i="5"/>
  <c r="V38" i="5"/>
  <c r="V36" i="5"/>
  <c r="W36" i="5"/>
  <c r="T36" i="5"/>
  <c r="AW36" i="5"/>
  <c r="V33" i="5"/>
  <c r="V31" i="5"/>
  <c r="V54" i="5"/>
  <c r="V76" i="5"/>
  <c r="V84" i="5"/>
  <c r="V85" i="5"/>
  <c r="W13" i="5"/>
  <c r="W14" i="5"/>
  <c r="W15" i="5"/>
  <c r="W16" i="5"/>
  <c r="Y16" i="5"/>
  <c r="T16" i="5"/>
  <c r="AW16" i="5"/>
  <c r="W17" i="5"/>
  <c r="W18" i="5"/>
  <c r="W19" i="5"/>
  <c r="W20" i="5"/>
  <c r="W21" i="5"/>
  <c r="W22" i="5"/>
  <c r="W23" i="5"/>
  <c r="W24" i="5"/>
  <c r="T24" i="5"/>
  <c r="W25" i="5"/>
  <c r="W48" i="5"/>
  <c r="W47" i="5"/>
  <c r="T47" i="5"/>
  <c r="W46" i="5"/>
  <c r="W45" i="5"/>
  <c r="W44" i="5"/>
  <c r="W43" i="5"/>
  <c r="T43" i="5"/>
  <c r="AW43" i="5"/>
  <c r="W42" i="5"/>
  <c r="W41" i="5"/>
  <c r="W39" i="5"/>
  <c r="W38" i="5"/>
  <c r="W37" i="5"/>
  <c r="W35" i="5"/>
  <c r="T35" i="5"/>
  <c r="AK35" i="5"/>
  <c r="AW35" i="5"/>
  <c r="W34" i="5"/>
  <c r="W33" i="5"/>
  <c r="W32" i="5"/>
  <c r="W31" i="5"/>
  <c r="T31" i="5"/>
  <c r="AW31" i="5"/>
  <c r="W30" i="5"/>
  <c r="W29" i="5"/>
  <c r="W28" i="5"/>
  <c r="W51" i="5"/>
  <c r="W52" i="5"/>
  <c r="W53" i="5"/>
  <c r="W54" i="5"/>
  <c r="W56" i="5"/>
  <c r="W57" i="5"/>
  <c r="W58" i="5"/>
  <c r="W59" i="5"/>
  <c r="T59" i="5"/>
  <c r="AW59" i="5"/>
  <c r="W60" i="5"/>
  <c r="W61" i="5"/>
  <c r="W62" i="5"/>
  <c r="W63" i="5"/>
  <c r="W64" i="5"/>
  <c r="W65" i="5"/>
  <c r="W66" i="5"/>
  <c r="W67" i="5"/>
  <c r="W68" i="5"/>
  <c r="W70" i="5"/>
  <c r="W71" i="5"/>
  <c r="W72" i="5"/>
  <c r="W73" i="5"/>
  <c r="W74" i="5"/>
  <c r="W76" i="5"/>
  <c r="T76" i="5"/>
  <c r="W78" i="5"/>
  <c r="W79" i="5"/>
  <c r="W80" i="5"/>
  <c r="T80" i="5"/>
  <c r="W81" i="5"/>
  <c r="W83" i="5"/>
  <c r="T83" i="5"/>
  <c r="AW83" i="5"/>
  <c r="W84" i="5"/>
  <c r="X14" i="5"/>
  <c r="Y14" i="5"/>
  <c r="Z14" i="5"/>
  <c r="T14" i="5"/>
  <c r="AK14" i="5"/>
  <c r="AW14" i="5"/>
  <c r="X15" i="5"/>
  <c r="X22" i="5"/>
  <c r="X49" i="5"/>
  <c r="X63" i="5"/>
  <c r="Y15" i="5"/>
  <c r="Y17" i="5"/>
  <c r="Y18" i="5"/>
  <c r="Y20" i="5"/>
  <c r="Y22" i="5"/>
  <c r="Y23" i="5"/>
  <c r="Y25" i="5"/>
  <c r="Y26" i="5"/>
  <c r="Y29" i="5"/>
  <c r="Y49" i="5"/>
  <c r="Y104" i="5"/>
  <c r="Y109" i="5"/>
  <c r="Z15" i="5"/>
  <c r="Z17" i="5"/>
  <c r="Z19" i="5"/>
  <c r="Z22" i="5"/>
  <c r="Z49" i="5"/>
  <c r="Z104" i="5"/>
  <c r="AA26" i="5"/>
  <c r="AA49" i="5"/>
  <c r="AA109" i="5"/>
  <c r="AB26" i="5"/>
  <c r="AB49" i="5"/>
  <c r="AB104" i="5"/>
  <c r="AC26" i="5"/>
  <c r="AC49" i="5"/>
  <c r="AC104" i="5"/>
  <c r="AC109" i="5"/>
  <c r="AD109" i="5"/>
  <c r="AE26" i="5"/>
  <c r="AE109" i="5"/>
  <c r="AE49" i="5"/>
  <c r="AE104" i="5"/>
  <c r="AF108" i="5"/>
  <c r="AF104" i="5"/>
  <c r="AG26" i="5"/>
  <c r="AG49" i="5"/>
  <c r="AG108" i="5"/>
  <c r="T108" i="5"/>
  <c r="AW108" i="5"/>
  <c r="AG104" i="5"/>
  <c r="AH26" i="5"/>
  <c r="AH49" i="5"/>
  <c r="AH104" i="5"/>
  <c r="AI26" i="5"/>
  <c r="AI49" i="5"/>
  <c r="AI104" i="5"/>
  <c r="AI109" i="5"/>
  <c r="AJ26" i="5"/>
  <c r="AJ49" i="5"/>
  <c r="AJ104" i="5"/>
  <c r="AK13" i="5"/>
  <c r="AK17" i="5"/>
  <c r="AK19" i="5"/>
  <c r="AK20" i="5"/>
  <c r="AK26" i="5"/>
  <c r="AK48" i="5"/>
  <c r="AK47" i="5"/>
  <c r="AK45" i="5"/>
  <c r="AK42" i="5"/>
  <c r="AK41" i="5"/>
  <c r="AK38" i="5"/>
  <c r="AK37" i="5"/>
  <c r="AW37" i="5"/>
  <c r="T37" i="5"/>
  <c r="AR37" i="5"/>
  <c r="AK36" i="5"/>
  <c r="AK33" i="5"/>
  <c r="AK31" i="5"/>
  <c r="AK30" i="5"/>
  <c r="AK29" i="5"/>
  <c r="AK28" i="5"/>
  <c r="AK27" i="5"/>
  <c r="AK51" i="5"/>
  <c r="AK63" i="5"/>
  <c r="AK87" i="5"/>
  <c r="AK90" i="5"/>
  <c r="AK92" i="5"/>
  <c r="AK94" i="5"/>
  <c r="AK97" i="5"/>
  <c r="AK99" i="5"/>
  <c r="AK100" i="5"/>
  <c r="AL26" i="5"/>
  <c r="AL49" i="5"/>
  <c r="AL104" i="5"/>
  <c r="AM26" i="5"/>
  <c r="AM49" i="5"/>
  <c r="AM104" i="5"/>
  <c r="AN26" i="5"/>
  <c r="AN49" i="5"/>
  <c r="AN104" i="5"/>
  <c r="AO26" i="5"/>
  <c r="AO49" i="5"/>
  <c r="AO104" i="5"/>
  <c r="AO109" i="5"/>
  <c r="AP22" i="5"/>
  <c r="AP26" i="5"/>
  <c r="AP109" i="5"/>
  <c r="AP49" i="5"/>
  <c r="AP104" i="5"/>
  <c r="AQ26" i="5"/>
  <c r="AQ109" i="5"/>
  <c r="AQ49" i="5"/>
  <c r="AQ104" i="5"/>
  <c r="AR26" i="5"/>
  <c r="AR48" i="5"/>
  <c r="AR46" i="5"/>
  <c r="AR49" i="5"/>
  <c r="AR109" i="5"/>
  <c r="AR41" i="5"/>
  <c r="AR36" i="5"/>
  <c r="AR34" i="5"/>
  <c r="AR28" i="5"/>
  <c r="AR104" i="5"/>
  <c r="AS26" i="5"/>
  <c r="AS49" i="5"/>
  <c r="AS104" i="5"/>
  <c r="AS109" i="5"/>
  <c r="AU17" i="5"/>
  <c r="AU26" i="5"/>
  <c r="AU109" i="5"/>
  <c r="AU49" i="5"/>
  <c r="AU104" i="5"/>
  <c r="AV26" i="5"/>
  <c r="AV109" i="5"/>
  <c r="AV49" i="5"/>
  <c r="AV104" i="5"/>
  <c r="BH105" i="5"/>
  <c r="BH99" i="5"/>
  <c r="BH106" i="5"/>
  <c r="T33" i="5"/>
  <c r="AW33" i="5"/>
  <c r="T44" i="5"/>
  <c r="AW44" i="5"/>
  <c r="T45" i="5"/>
  <c r="AW45" i="5"/>
  <c r="T17" i="5"/>
  <c r="T25" i="5"/>
  <c r="J50" i="5"/>
  <c r="T61" i="5"/>
  <c r="AW61" i="5"/>
  <c r="T88" i="5"/>
  <c r="AW88" i="5"/>
  <c r="T101" i="5"/>
  <c r="AW101" i="5"/>
  <c r="BF104" i="5"/>
  <c r="BF49" i="5"/>
  <c r="BF14" i="5"/>
  <c r="BF26" i="5"/>
  <c r="BF109" i="5"/>
  <c r="BG14" i="5"/>
  <c r="BH14" i="5"/>
  <c r="BD80" i="5"/>
  <c r="BH80" i="5"/>
  <c r="BD71" i="5"/>
  <c r="BH71" i="5"/>
  <c r="BD68" i="5"/>
  <c r="BH68" i="5"/>
  <c r="T105" i="5"/>
  <c r="AW105" i="5"/>
  <c r="T106" i="5"/>
  <c r="AW106" i="5"/>
  <c r="T107" i="5"/>
  <c r="AW107" i="5"/>
  <c r="T55" i="5"/>
  <c r="AW55" i="5"/>
  <c r="T87" i="5"/>
  <c r="T89" i="5"/>
  <c r="AW89" i="5"/>
  <c r="T90" i="5"/>
  <c r="T92" i="5"/>
  <c r="AW92" i="5"/>
  <c r="T93" i="5"/>
  <c r="AW93" i="5"/>
  <c r="T94" i="5"/>
  <c r="T97" i="5"/>
  <c r="AW97" i="5"/>
  <c r="T98" i="5"/>
  <c r="T99" i="5"/>
  <c r="AW99" i="5"/>
  <c r="T100" i="5"/>
  <c r="AW100" i="5"/>
  <c r="T102" i="5"/>
  <c r="AW102" i="5"/>
  <c r="T103" i="5"/>
  <c r="AW103" i="5"/>
  <c r="T50" i="5"/>
  <c r="AW50" i="5"/>
  <c r="T27" i="5"/>
  <c r="AA57" i="5"/>
  <c r="T20" i="5"/>
  <c r="T81" i="5"/>
  <c r="T79" i="5"/>
  <c r="AW79" i="5"/>
  <c r="T78" i="5"/>
  <c r="T74" i="5"/>
  <c r="T72" i="5"/>
  <c r="T70" i="5"/>
  <c r="T65" i="5"/>
  <c r="AW65" i="5"/>
  <c r="T62" i="5"/>
  <c r="T58" i="5"/>
  <c r="AW58" i="5"/>
  <c r="T53" i="5"/>
  <c r="AW53" i="5"/>
  <c r="T52" i="5"/>
  <c r="AW52" i="5"/>
  <c r="T39" i="5"/>
  <c r="T32" i="5"/>
  <c r="T29" i="5"/>
  <c r="AW29" i="5"/>
  <c r="T18" i="5"/>
  <c r="T13" i="5"/>
  <c r="T85" i="5"/>
  <c r="BC104" i="5"/>
  <c r="BC49" i="5"/>
  <c r="BC17" i="5"/>
  <c r="BC26" i="5"/>
  <c r="BC109" i="5"/>
  <c r="BH17" i="5"/>
  <c r="BH75" i="5"/>
  <c r="BD95" i="5"/>
  <c r="BH95" i="5"/>
  <c r="BD92" i="5"/>
  <c r="BH92" i="5"/>
  <c r="BD88" i="5"/>
  <c r="BH88" i="5"/>
  <c r="BD94" i="5"/>
  <c r="BH94" i="5"/>
  <c r="BD58" i="5"/>
  <c r="BH58" i="5"/>
  <c r="BD56" i="5"/>
  <c r="BH56" i="5"/>
  <c r="BD52" i="5"/>
  <c r="BH52" i="5"/>
  <c r="BD48" i="5"/>
  <c r="BD49" i="5"/>
  <c r="BD45" i="5"/>
  <c r="BD42" i="5"/>
  <c r="BH42" i="5"/>
  <c r="BH45" i="5"/>
  <c r="BG26" i="5"/>
  <c r="BG109" i="5"/>
  <c r="BG49" i="5"/>
  <c r="BG104" i="5"/>
  <c r="BA18" i="5"/>
  <c r="BA26" i="5"/>
  <c r="AY109" i="5"/>
  <c r="T86" i="5"/>
  <c r="AW86" i="5"/>
  <c r="BE104" i="5"/>
  <c r="AX26" i="5"/>
  <c r="AX49" i="5"/>
  <c r="AX104" i="5"/>
  <c r="AZ26" i="5"/>
  <c r="AZ109" i="5"/>
  <c r="AZ49" i="5"/>
  <c r="AZ104" i="5"/>
  <c r="BA49" i="5"/>
  <c r="BA104" i="5"/>
  <c r="BB26" i="5"/>
  <c r="BB49" i="5"/>
  <c r="BB104" i="5"/>
  <c r="BD26" i="5"/>
  <c r="BE26" i="5"/>
  <c r="BE49" i="5"/>
  <c r="BE109" i="5"/>
  <c r="BH15" i="5"/>
  <c r="BH16" i="5"/>
  <c r="BH19" i="5"/>
  <c r="BH20" i="5"/>
  <c r="BH21" i="5"/>
  <c r="BH22" i="5"/>
  <c r="BH23" i="5"/>
  <c r="BH24" i="5"/>
  <c r="BH25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3" i="5"/>
  <c r="BH44" i="5"/>
  <c r="BH46" i="5"/>
  <c r="BH47" i="5"/>
  <c r="BH50" i="5"/>
  <c r="BH51" i="5"/>
  <c r="BH53" i="5"/>
  <c r="BH54" i="5"/>
  <c r="BH57" i="5"/>
  <c r="BH59" i="5"/>
  <c r="BH60" i="5"/>
  <c r="BH61" i="5"/>
  <c r="BH62" i="5"/>
  <c r="BH63" i="5"/>
  <c r="BH64" i="5"/>
  <c r="BH100" i="5"/>
  <c r="BH67" i="5"/>
  <c r="BH69" i="5"/>
  <c r="BH70" i="5"/>
  <c r="BH74" i="5"/>
  <c r="BH76" i="5"/>
  <c r="BH77" i="5"/>
  <c r="BH78" i="5"/>
  <c r="BH79" i="5"/>
  <c r="BH81" i="5"/>
  <c r="BH82" i="5"/>
  <c r="BH83" i="5"/>
  <c r="BH84" i="5"/>
  <c r="BH85" i="5"/>
  <c r="BH86" i="5"/>
  <c r="BH87" i="5"/>
  <c r="BH89" i="5"/>
  <c r="BH90" i="5"/>
  <c r="BH91" i="5"/>
  <c r="BH93" i="5"/>
  <c r="BH97" i="5"/>
  <c r="BH98" i="5"/>
  <c r="BH65" i="5"/>
  <c r="BH102" i="5"/>
  <c r="BH103" i="5"/>
  <c r="BH107" i="5"/>
  <c r="BH108" i="5"/>
  <c r="BH13" i="5"/>
  <c r="BI104" i="5"/>
  <c r="BI26" i="5"/>
  <c r="BI49" i="5"/>
  <c r="BI109" i="5"/>
  <c r="T64" i="5"/>
  <c r="AW64" i="5"/>
  <c r="T19" i="5"/>
  <c r="AW85" i="5"/>
  <c r="T60" i="5"/>
  <c r="AW98" i="5"/>
  <c r="AW27" i="5"/>
  <c r="T41" i="5"/>
  <c r="AW41" i="5"/>
  <c r="T48" i="5"/>
  <c r="T68" i="5"/>
  <c r="AW78" i="5"/>
  <c r="AW70" i="5"/>
  <c r="AW48" i="5"/>
  <c r="AW81" i="5"/>
  <c r="AW74" i="5"/>
  <c r="T23" i="5"/>
  <c r="AW23" i="5"/>
  <c r="AW76" i="5"/>
  <c r="AW62" i="5"/>
  <c r="AW80" i="5"/>
  <c r="T71" i="5"/>
  <c r="AW71" i="5"/>
  <c r="T73" i="5"/>
  <c r="AW73" i="5"/>
  <c r="T28" i="5"/>
  <c r="AW28" i="5"/>
  <c r="T66" i="5"/>
  <c r="AW66" i="5"/>
  <c r="T22" i="5"/>
  <c r="AW22" i="5"/>
  <c r="AW90" i="5"/>
  <c r="AW94" i="5"/>
  <c r="BH18" i="5"/>
  <c r="X104" i="5"/>
  <c r="T63" i="5"/>
  <c r="AW63" i="5"/>
  <c r="T42" i="5"/>
  <c r="AW42" i="5"/>
  <c r="AL109" i="5"/>
  <c r="AJ109" i="5"/>
  <c r="AF109" i="5"/>
  <c r="AW72" i="5"/>
  <c r="AW68" i="5"/>
  <c r="AW60" i="5"/>
  <c r="T56" i="5"/>
  <c r="AW56" i="5"/>
  <c r="W104" i="5"/>
  <c r="T51" i="5"/>
  <c r="AW51" i="5"/>
  <c r="AW39" i="5"/>
  <c r="T84" i="5"/>
  <c r="AW84" i="5"/>
  <c r="T54" i="5"/>
  <c r="AW54" i="5"/>
  <c r="V104" i="5"/>
  <c r="T38" i="5"/>
  <c r="AW38" i="5"/>
  <c r="AW47" i="5"/>
  <c r="J26" i="5"/>
  <c r="J109" i="5"/>
  <c r="E109" i="5"/>
  <c r="T34" i="5"/>
  <c r="AW34" i="5"/>
  <c r="W49" i="5"/>
  <c r="T49" i="5"/>
  <c r="V49" i="5"/>
  <c r="O109" i="5"/>
  <c r="BB109" i="5"/>
  <c r="T46" i="5"/>
  <c r="AW46" i="5"/>
  <c r="AM109" i="5"/>
  <c r="AK49" i="5"/>
  <c r="AK104" i="5"/>
  <c r="AG109" i="5"/>
  <c r="AW19" i="5"/>
  <c r="AW20" i="5"/>
  <c r="T57" i="5"/>
  <c r="AW57" i="5"/>
  <c r="U104" i="5"/>
  <c r="T104" i="5"/>
  <c r="P49" i="5"/>
  <c r="J49" i="5"/>
  <c r="AW87" i="5"/>
  <c r="J104" i="5"/>
  <c r="AW32" i="5"/>
  <c r="T30" i="5"/>
  <c r="AW30" i="5"/>
  <c r="W26" i="5"/>
  <c r="X26" i="5"/>
  <c r="Z26" i="5"/>
  <c r="V109" i="5"/>
  <c r="BD104" i="5"/>
  <c r="BH104" i="5"/>
  <c r="AX109" i="5"/>
  <c r="AN109" i="5"/>
  <c r="AH109" i="5"/>
  <c r="AB109" i="5"/>
  <c r="Z109" i="5"/>
  <c r="AW18" i="5"/>
  <c r="T15" i="5"/>
  <c r="AW15" i="5"/>
  <c r="AW25" i="5"/>
  <c r="T21" i="5"/>
  <c r="AW21" i="5"/>
  <c r="AW17" i="5"/>
  <c r="AW13" i="5"/>
  <c r="F109" i="5"/>
  <c r="AW24" i="5"/>
  <c r="T67" i="5"/>
  <c r="AW67" i="5"/>
  <c r="W109" i="5"/>
  <c r="X109" i="5"/>
  <c r="AK109" i="5"/>
  <c r="BH49" i="5"/>
  <c r="BD109" i="5"/>
  <c r="BA109" i="5"/>
  <c r="BH26" i="5"/>
  <c r="T26" i="5"/>
  <c r="U109" i="5"/>
  <c r="AW26" i="5"/>
  <c r="BH109" i="5"/>
  <c r="AW104" i="5"/>
  <c r="P109" i="5"/>
  <c r="AW49" i="5"/>
  <c r="BH48" i="5"/>
  <c r="T109" i="5"/>
  <c r="AW109" i="5"/>
</calcChain>
</file>

<file path=xl/sharedStrings.xml><?xml version="1.0" encoding="utf-8"?>
<sst xmlns="http://schemas.openxmlformats.org/spreadsheetml/2006/main" count="341" uniqueCount="292">
  <si>
    <t>грн</t>
  </si>
  <si>
    <t>Код бюджету</t>
  </si>
  <si>
    <t>Обсяги міжбюджетних трансфертів, що передаються з обласного бюджету до державного бюджету</t>
  </si>
  <si>
    <t>Разом</t>
  </si>
  <si>
    <t>загальний фонд</t>
  </si>
  <si>
    <t>спеціальний фонд</t>
  </si>
  <si>
    <t>субвенції на здійснення програм соціального захисту:</t>
  </si>
  <si>
    <t>інші субвенції</t>
  </si>
  <si>
    <t>на охорону і раціональне використання земель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</si>
  <si>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</si>
  <si>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</si>
  <si>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</si>
  <si>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</si>
  <si>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</si>
  <si>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</si>
  <si>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</si>
  <si>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</si>
  <si>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</si>
  <si>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</si>
  <si>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</si>
  <si>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</si>
  <si>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</si>
  <si>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</si>
  <si>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</si>
  <si>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</si>
  <si>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</si>
  <si>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</si>
  <si>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</si>
  <si>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</si>
  <si>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</si>
  <si>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</si>
  <si>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</si>
  <si>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</si>
  <si>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</si>
  <si>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</si>
  <si>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</si>
  <si>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</si>
  <si>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</si>
  <si>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</si>
  <si>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</si>
  <si>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</si>
  <si>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</si>
  <si>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</si>
  <si>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</si>
  <si>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</si>
  <si>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</si>
  <si>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</si>
  <si>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Обсяги міжбюджетних трансфертів, що передаються з обласного бюджету до місцевих бюджетів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</si>
  <si>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</si>
  <si>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</si>
  <si>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</si>
  <si>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</si>
  <si>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</si>
  <si>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</si>
  <si>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</si>
  <si>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</si>
  <si>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</si>
  <si>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</si>
  <si>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</si>
  <si>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</si>
  <si>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</si>
  <si>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</si>
  <si>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</si>
  <si>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</si>
  <si>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</si>
  <si>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</si>
  <si>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</si>
  <si>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</si>
  <si>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</si>
  <si>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</si>
  <si>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</si>
  <si>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</si>
  <si>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</si>
  <si>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</si>
  <si>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</si>
  <si>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</si>
  <si>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</si>
  <si>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</si>
  <si>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</si>
  <si>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</si>
  <si>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</si>
  <si>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</si>
  <si>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</si>
  <si>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м. Покров</t>
  </si>
  <si>
    <t>Дніпровський р-н</t>
  </si>
  <si>
    <t>Реверсна дотація</t>
  </si>
  <si>
    <t>на співфінансування органів місцевого самоврядування області -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- Швейцарсько-Український проект „Підтримка децентралізації в Україні” DESPRO</t>
  </si>
  <si>
    <t>м. Дніпро</t>
  </si>
  <si>
    <t>субвенції</t>
  </si>
  <si>
    <t xml:space="preserve">на фінансування переможців обласного конкурсу мікропроектів з енергоефективності в житловому секторі </t>
  </si>
  <si>
    <t>Показники міжбюджетних трансфертів між обласним бюджетом та іншими бюджетами на 2018 рік</t>
  </si>
  <si>
    <t>КПКВК 3719110</t>
  </si>
  <si>
    <t>КПКВК 3719230</t>
  </si>
  <si>
    <t>КПКВК 3719210</t>
  </si>
  <si>
    <t>КПКВК 3719220</t>
  </si>
  <si>
    <t>КПКВК 3719250</t>
  </si>
  <si>
    <t>КПКВК 1219260</t>
  </si>
  <si>
    <t>КПКВК 2819800</t>
  </si>
  <si>
    <t>КПКВК 0119770</t>
  </si>
  <si>
    <t>КПКВК 2419770</t>
  </si>
  <si>
    <t xml:space="preserve">Перший заступник голови обласної ради </t>
  </si>
  <si>
    <t>на фінансування переможців обласного конкурсу проектів і програм розвитку місцевого самоврядування</t>
  </si>
  <si>
    <t>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(на умовах співфінансування)</t>
  </si>
  <si>
    <t>КПКВК 3719130</t>
  </si>
  <si>
    <t>на природоохоронні заходи</t>
  </si>
  <si>
    <t>Об’єднані територіальні громади</t>
  </si>
  <si>
    <t>04501000000</t>
  </si>
  <si>
    <t>Апостолівська міська рада</t>
  </si>
  <si>
    <t>04502000000</t>
  </si>
  <si>
    <t xml:space="preserve">Богданівська сільська рада </t>
  </si>
  <si>
    <t>04503000000</t>
  </si>
  <si>
    <t>Вербківська сільська рада</t>
  </si>
  <si>
    <t>04504000000</t>
  </si>
  <si>
    <t>Святовасилівська сільська рада</t>
  </si>
  <si>
    <t>04506000000</t>
  </si>
  <si>
    <t>Зеленодольська міська рада</t>
  </si>
  <si>
    <t>04507000000</t>
  </si>
  <si>
    <t>Грушівська сільська рада</t>
  </si>
  <si>
    <t>04508000000</t>
  </si>
  <si>
    <t>Ляшківська сільська рада</t>
  </si>
  <si>
    <t>04510000000</t>
  </si>
  <si>
    <t>Нивотрудівська сільська рада</t>
  </si>
  <si>
    <t>04511000000</t>
  </si>
  <si>
    <t>Новоолександрівська сільська рада</t>
  </si>
  <si>
    <t>04512000000</t>
  </si>
  <si>
    <t>Новопокровська селищна рада</t>
  </si>
  <si>
    <t>04513000000</t>
  </si>
  <si>
    <t>Солонянська селищна рада</t>
  </si>
  <si>
    <t>04514000000</t>
  </si>
  <si>
    <t xml:space="preserve">Сурсько-Литовська сільська рада </t>
  </si>
  <si>
    <t>04515000000</t>
  </si>
  <si>
    <t>04517000000</t>
  </si>
  <si>
    <t>Аульська селищна рада</t>
  </si>
  <si>
    <t>04518000000</t>
  </si>
  <si>
    <t>Божедарівська селищна рада</t>
  </si>
  <si>
    <t>04519000000</t>
  </si>
  <si>
    <t>Васильківська селищна рада</t>
  </si>
  <si>
    <t>04521000000</t>
  </si>
  <si>
    <t>Криничанська селищна рада</t>
  </si>
  <si>
    <t>04524000000</t>
  </si>
  <si>
    <t>Роздорська селищна рада</t>
  </si>
  <si>
    <t>04527000000</t>
  </si>
  <si>
    <t>Царичанська селищна рада</t>
  </si>
  <si>
    <t>04529000000</t>
  </si>
  <si>
    <t>Великомихайлівська сільська рада</t>
  </si>
  <si>
    <t>04530000000</t>
  </si>
  <si>
    <t>Гречаноподівська сільська рада</t>
  </si>
  <si>
    <t>04531000000</t>
  </si>
  <si>
    <t>Маломихайлівська сільська рада</t>
  </si>
  <si>
    <t>04532000000</t>
  </si>
  <si>
    <t>Новолатівська сільська рада</t>
  </si>
  <si>
    <t>04533000000</t>
  </si>
  <si>
    <t>Новопавлівська сільська рада</t>
  </si>
  <si>
    <t>04534000000</t>
  </si>
  <si>
    <t>Чкаловська сільська рада</t>
  </si>
  <si>
    <t>Зайцівська сільська рада</t>
  </si>
  <si>
    <t>Карпівська селищна рада</t>
  </si>
  <si>
    <t>Китайгородська сільська рада</t>
  </si>
  <si>
    <t>Лошкарівська сільська рада</t>
  </si>
  <si>
    <t>Межівська селищна рада</t>
  </si>
  <si>
    <t>Межиріцька сільська рада</t>
  </si>
  <si>
    <t>Раївська сільська рада</t>
  </si>
  <si>
    <t>Славгородська селищна рада</t>
  </si>
  <si>
    <t xml:space="preserve">Троїцька сільська рада </t>
  </si>
  <si>
    <t>Червоногригорівська селищна рада</t>
  </si>
  <si>
    <t>Широківська селищна рада</t>
  </si>
  <si>
    <t>04509000000</t>
  </si>
  <si>
    <t>Могилівська сільська рада</t>
  </si>
  <si>
    <t>Усього</t>
  </si>
  <si>
    <t>м. Кам’янське</t>
  </si>
  <si>
    <t>КПКВК 0719460</t>
  </si>
  <si>
    <t>КПКВК 0919270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</si>
  <si>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</si>
  <si>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виконання доручень виборців депутатами обласної ради у 2018 році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</si>
  <si>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</si>
  <si>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</si>
  <si>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</si>
  <si>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</si>
  <si>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</si>
  <si>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</si>
  <si>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</si>
  <si>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</si>
  <si>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</si>
  <si>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</si>
  <si>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</si>
  <si>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</si>
  <si>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</si>
  <si>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</si>
  <si>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КПКВК 0219620</t>
  </si>
  <si>
    <t xml:space="preserve"> на підготовку і проведення повторного голосування з перших виборів депутатів сільських, селищних рад </t>
  </si>
  <si>
    <t>04554000000</t>
  </si>
  <si>
    <t>04556000000</t>
  </si>
  <si>
    <t>у тому числі</t>
  </si>
  <si>
    <t>КПКВК 2219800</t>
  </si>
  <si>
    <t>КПКВК 3719800</t>
  </si>
  <si>
    <t>на реалізацію заходів регіональної Програми забезпечення громадського порядку та громадської безпеки на території  Дніпропетровської області на період до 2020 року</t>
  </si>
  <si>
    <t>на реалізацію заходів програми впровадження державної політики органами виконавчої влади у Дніпропетровській області на 2016 – 2020 роки</t>
  </si>
  <si>
    <t>КФКД 41053700</t>
  </si>
  <si>
    <t>на співфінансування інвестиційних проектів</t>
  </si>
  <si>
    <t>Слобожанська селищна рада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</si>
  <si>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</si>
  <si>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КФКД 41053900</t>
  </si>
  <si>
    <t>на відшкодування витрат за житлово-комунальні послуги та за тимчасове проживання внутрішньо переміщених осіб (вимушених переселенців) у м.Дніпрі</t>
  </si>
  <si>
    <t>04520000000</t>
  </si>
  <si>
    <t>Вишнівська селищна рада</t>
  </si>
  <si>
    <t>04526000000</t>
  </si>
  <si>
    <t>Томаківська селищна рада</t>
  </si>
  <si>
    <t>04528000000</t>
  </si>
  <si>
    <t>Варварівська сільська рада</t>
  </si>
  <si>
    <t>КФКД 41053500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</si>
  <si>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</si>
  <si>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Українська сільська рада </t>
  </si>
  <si>
    <t xml:space="preserve">Девладівська сільська рада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</si>
  <si>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</si>
  <si>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КПКВК 0619320</t>
  </si>
  <si>
    <t>на оновлення матеріально-технічної бази</t>
  </si>
  <si>
    <t>на підтримку інклюзивної освіти</t>
  </si>
  <si>
    <t>на впровадження новітніх технологій</t>
  </si>
  <si>
    <t xml:space="preserve">  З НИХ               </t>
  </si>
  <si>
    <t>на оснащення закладів загальної середньої освіти з поглибленим/ профільним навчанням та опорних шкіл засобами навчання</t>
  </si>
  <si>
    <t>на придбання обладнання та витратних матеріалів для початкової школи</t>
  </si>
  <si>
    <t>на придбання обладнання для інноваційного навчально-тренінгового класу</t>
  </si>
  <si>
    <t>на придбання обладнання для створення умов для підготовки та проведення зовнішнього незалежного оцінювання з іноземних мов</t>
  </si>
  <si>
    <t>на підтримку об'єднаних територіальних громад (впровадження енергозберігаючих технологій)</t>
  </si>
  <si>
    <t>КФКД 41051500</t>
  </si>
  <si>
    <t>на здійснення переданих видатків у сфері охорони здоров’я за рахунок коштів медичної субвенції</t>
  </si>
  <si>
    <t>05100000000</t>
  </si>
  <si>
    <t>Обласний бюджет Донецької області</t>
  </si>
  <si>
    <t>КПКВК 0719770</t>
  </si>
  <si>
    <t>на підвищення кваліфікації (рівня освіти) окремих працівників закладів охорони здоров'я та органів управління відповідної галузі</t>
  </si>
  <si>
    <t>04551000000</t>
  </si>
  <si>
    <t>Миколаївська сільська рада
(Васильківський р-н)</t>
  </si>
  <si>
    <t>Миколаївська сільська рада
(Петропавлівський р-н)</t>
  </si>
  <si>
    <t>04516000000</t>
  </si>
  <si>
    <t>Мирівська сільська рада</t>
  </si>
  <si>
    <t>на реалізацію заходів Регіональної цільової соціальної програми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2016-2020 роки</t>
  </si>
  <si>
    <t>КФКД 41053300</t>
  </si>
  <si>
    <t>на утримання об'єктів спільного користування чи ліквідацію негативних наслідків діяльності об'єктів спільного користування</t>
  </si>
  <si>
    <t>11100000000</t>
  </si>
  <si>
    <t>Обласний бюджет Кіровоградської області</t>
  </si>
  <si>
    <t>КПКВК 0719410</t>
  </si>
  <si>
    <t>на здійснення переданих видатків у сфері охорони здоров'я за рахунок коштів медичної субвенції</t>
  </si>
  <si>
    <t>Першотравневська сільська рада</t>
  </si>
  <si>
    <t>04525000000</t>
  </si>
  <si>
    <t>Софіївська селищна рада</t>
  </si>
  <si>
    <t>на капітальні видатки  та облаштування об'єктів соціально- культурної сфери</t>
  </si>
  <si>
    <t>КПКВК 3719150</t>
  </si>
  <si>
    <t>інші  дотаціі з місцевого бюджету</t>
  </si>
  <si>
    <t>КПКВК 3719570</t>
  </si>
  <si>
    <t>Обласному бюджету на придбання медикаментів, реагентів та витратних матеріалів для КЗ "Міжобласний центр медичної генетики і пренатальної діагностики імені П.М.Веропотвеляна " ДОР</t>
  </si>
  <si>
    <t>КПКВК 0719420</t>
  </si>
  <si>
    <t>Субвенція з місцевого бюджету за рахунок залишку коштів медичної субвенції, що утворився на початок бюджетного періоду</t>
  </si>
  <si>
    <t>04552000000</t>
  </si>
  <si>
    <t>Юр’ївська селищна рада</t>
  </si>
  <si>
    <t>КПКВК 0619770</t>
  </si>
  <si>
    <t>на створення ресурсних кімнат для дітей з особливими освітніми потребами, що потребують інклюзивної освіти</t>
  </si>
  <si>
    <t>04523000000</t>
  </si>
  <si>
    <t>Покровська селищна рада</t>
  </si>
  <si>
    <t>04522000000</t>
  </si>
  <si>
    <t>Лихівська селищна рада</t>
  </si>
  <si>
    <t>04505000000</t>
  </si>
  <si>
    <t>Вакулівська сільська рада</t>
  </si>
  <si>
    <t>на придбання обладнання для  кабінетів української мови в закладах загальної середньої освіти з навчанням мовами національних меншин</t>
  </si>
  <si>
    <t>КПКВК 0619800</t>
  </si>
  <si>
    <t>на виконання програм соціально-економічного розвитку регіонів</t>
  </si>
  <si>
    <t>на виконання заходів регіональної цільової соціальної програми "Освіта Дніпропетровщини до 2018 року"</t>
  </si>
  <si>
    <t xml:space="preserve">за рахунок залишку субвенції з державного бюджету місцевим бюджетам на здійснення заходів щодо соціально-економічного розвитку окремих територій </t>
  </si>
  <si>
    <t>КПКВК 1519770</t>
  </si>
  <si>
    <t>на виконання Програми виконання доручень виборців депутатами Дніпровської міської ради VII скликання на 2016- 2020 роки</t>
  </si>
  <si>
    <t>КПКВК 6819800</t>
  </si>
  <si>
    <t xml:space="preserve">на підготовку і проведення перших виборів депутатів сільських, селищних, міських рад і відповідних сільських, селищних, міських голів </t>
  </si>
  <si>
    <t>на виготовлення органами ведення Державного реєстру виборців списків виборців та іменних запрошень для підготовки і проведення перших виборів депутатів сільських, селищних, міських рад і відповідних сільських, селищних, міських голів</t>
  </si>
  <si>
    <t>КПКВК 1219610</t>
  </si>
  <si>
    <t xml:space="preserve">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</si>
  <si>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</si>
  <si>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 xml:space="preserve"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</si>
  <si>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</si>
  <si>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</t>
  </si>
  <si>
    <t xml:space="preserve">на проведення виборів депутатів місцевих рад та сільських, селищних, міських голів </t>
  </si>
  <si>
    <t>на відшкодування вартості лікарських засобів для лікування окремих захворювань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</si>
  <si>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</si>
  <si>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на фінансування заходів соціально-економічної компенсації ризику населення, яке проживає на території зони спостереження</t>
  </si>
  <si>
    <t>Додаток № 4</t>
  </si>
  <si>
    <t>до рішення обласної ради</t>
  </si>
  <si>
    <t>С.ОЛІЙНИК</t>
  </si>
  <si>
    <t>04547000000</t>
  </si>
  <si>
    <t>Ілларіонівська селищна рада</t>
  </si>
  <si>
    <t xml:space="preserve">субвенція з інших бюджетів </t>
  </si>
  <si>
    <r>
      <t xml:space="preserve">З НИХ       </t>
    </r>
    <r>
      <rPr>
        <i/>
        <sz val="40"/>
        <rFont val="Arial Cyr"/>
        <family val="2"/>
        <charset val="204"/>
      </rPr>
      <t xml:space="preserve">      </t>
    </r>
  </si>
  <si>
    <t>Обсяги міжбюджетних трансфертів, що передаються з інших місцевих бюджетів до обласного бюджету</t>
  </si>
  <si>
    <t xml:space="preserve">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 </t>
  </si>
  <si>
    <t>Петриківська селищна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</si>
</sst>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50"/>
      <name val="Times New Roman"/>
      <family val="1"/>
      <charset val="204"/>
    </font>
    <font>
      <sz val="22"/>
      <name val="Times New Roman"/>
      <family val="1"/>
      <charset val="204"/>
    </font>
    <font>
      <b/>
      <sz val="48"/>
      <name val="Times New Roman"/>
      <family val="1"/>
      <charset val="204"/>
    </font>
    <font>
      <sz val="56"/>
      <name val="Times New Roman"/>
      <family val="1"/>
      <charset val="204"/>
    </font>
    <font>
      <sz val="26"/>
      <name val="Times New Roman"/>
      <family val="1"/>
      <charset val="204"/>
    </font>
    <font>
      <sz val="44"/>
      <name val="Times New Roman"/>
      <family val="1"/>
      <charset val="204"/>
    </font>
    <font>
      <sz val="42"/>
      <name val="Times New Roman"/>
      <family val="1"/>
      <charset val="204"/>
    </font>
    <font>
      <sz val="11"/>
      <name val="Arial Cyr"/>
      <family val="2"/>
      <charset val="204"/>
    </font>
    <font>
      <i/>
      <sz val="44"/>
      <name val="Times New Roman"/>
      <family val="1"/>
      <charset val="204"/>
    </font>
    <font>
      <sz val="46"/>
      <name val="Times New Roman"/>
      <family val="1"/>
      <charset val="204"/>
    </font>
    <font>
      <sz val="46"/>
      <name val="Times New Roman Cyr"/>
      <family val="1"/>
      <charset val="204"/>
    </font>
    <font>
      <b/>
      <sz val="10"/>
      <name val="Arial Cyr"/>
      <family val="2"/>
      <charset val="204"/>
    </font>
    <font>
      <sz val="28"/>
      <name val="Times New Roman"/>
      <family val="1"/>
      <charset val="204"/>
    </font>
    <font>
      <sz val="40"/>
      <name val="Bookman Old Style"/>
      <family val="1"/>
      <charset val="204"/>
    </font>
    <font>
      <sz val="40"/>
      <name val="Arial Cyr"/>
      <family val="2"/>
      <charset val="204"/>
    </font>
    <font>
      <sz val="20"/>
      <name val="Arial Cyr"/>
      <family val="2"/>
      <charset val="204"/>
    </font>
    <font>
      <sz val="10"/>
      <name val="Arial"/>
      <family val="2"/>
      <charset val="204"/>
    </font>
    <font>
      <b/>
      <sz val="52"/>
      <name val="Times New Roman"/>
      <family val="1"/>
      <charset val="204"/>
    </font>
    <font>
      <sz val="50"/>
      <name val="Arial Cyr"/>
      <family val="2"/>
      <charset val="204"/>
    </font>
    <font>
      <sz val="5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65"/>
      <name val="Times New Roman"/>
      <family val="1"/>
      <charset val="204"/>
    </font>
    <font>
      <sz val="40"/>
      <name val="Times New Roman"/>
      <family val="1"/>
      <charset val="204"/>
    </font>
    <font>
      <i/>
      <sz val="40"/>
      <name val="Times New Roman"/>
      <family val="1"/>
      <charset val="204"/>
    </font>
    <font>
      <i/>
      <sz val="40"/>
      <name val="Arial Cyr"/>
      <family val="2"/>
      <charset val="204"/>
    </font>
    <font>
      <sz val="3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23" fillId="0" borderId="0">
      <alignment vertical="top"/>
    </xf>
    <xf numFmtId="0" fontId="19" fillId="0" borderId="0"/>
    <xf numFmtId="0" fontId="19" fillId="0" borderId="0"/>
  </cellStyleXfs>
  <cellXfs count="111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1" fillId="0" borderId="0" xfId="0" applyFont="1" applyFill="1"/>
    <xf numFmtId="0" fontId="1" fillId="0" borderId="0" xfId="0" applyFont="1" applyFill="1" applyAlignment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1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vertical="center" wrapText="1"/>
    </xf>
    <xf numFmtId="0" fontId="1" fillId="0" borderId="1" xfId="0" applyFont="1" applyFill="1" applyBorder="1"/>
    <xf numFmtId="0" fontId="14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0" fontId="16" fillId="0" borderId="0" xfId="0" applyFont="1" applyFill="1"/>
    <xf numFmtId="3" fontId="15" fillId="0" borderId="0" xfId="0" applyNumberFormat="1" applyFont="1" applyFill="1" applyBorder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/>
    <xf numFmtId="0" fontId="9" fillId="0" borderId="2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Alignment="1"/>
    <xf numFmtId="0" fontId="18" fillId="0" borderId="0" xfId="0" applyFont="1" applyFill="1" applyBorder="1"/>
    <xf numFmtId="3" fontId="1" fillId="0" borderId="0" xfId="0" applyNumberFormat="1" applyFont="1" applyFill="1" applyBorder="1"/>
    <xf numFmtId="4" fontId="1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 applyProtection="1">
      <alignment vertical="center" wrapText="1"/>
    </xf>
    <xf numFmtId="0" fontId="10" fillId="0" borderId="6" xfId="0" applyFont="1" applyFill="1" applyBorder="1"/>
    <xf numFmtId="0" fontId="8" fillId="0" borderId="7" xfId="0" applyFont="1" applyFill="1" applyBorder="1" applyAlignment="1">
      <alignment vertical="center" wrapText="1"/>
    </xf>
    <xf numFmtId="0" fontId="10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/>
    </xf>
    <xf numFmtId="4" fontId="13" fillId="0" borderId="5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/>
    <xf numFmtId="0" fontId="17" fillId="0" borderId="6" xfId="0" applyFont="1" applyFill="1" applyBorder="1"/>
    <xf numFmtId="0" fontId="17" fillId="0" borderId="1" xfId="0" applyFont="1" applyFill="1" applyBorder="1"/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4" fontId="22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4" fontId="20" fillId="0" borderId="11" xfId="0" applyNumberFormat="1" applyFont="1" applyFill="1" applyBorder="1" applyAlignment="1"/>
    <xf numFmtId="4" fontId="20" fillId="0" borderId="0" xfId="0" applyNumberFormat="1" applyFont="1" applyFill="1" applyBorder="1" applyAlignment="1"/>
    <xf numFmtId="0" fontId="6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center" wrapText="1"/>
    </xf>
  </cellXfs>
  <cellStyles count="5">
    <cellStyle name="Normal_Доходи" xfId="1"/>
    <cellStyle name="Звичайний_Додаток _ 3 зм_ни 4575" xfId="2"/>
    <cellStyle name="Обычный" xfId="0" builtinId="0"/>
    <cellStyle name="Обычный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3"/>
  <sheetViews>
    <sheetView showZeros="0" tabSelected="1" view="pageBreakPreview" zoomScale="20" zoomScaleNormal="25" zoomScaleSheetLayoutView="20" workbookViewId="0">
      <pane xSplit="2" ySplit="12" topLeftCell="AO94" activePane="bottomRight" state="frozen"/>
      <selection pane="topRight" activeCell="C1" sqref="C1"/>
      <selection pane="bottomLeft" activeCell="A14" sqref="A14"/>
      <selection pane="bottomRight" activeCell="AW96" sqref="AW96"/>
    </sheetView>
  </sheetViews>
  <sheetFormatPr defaultRowHeight="12.75" x14ac:dyDescent="0.2"/>
  <cols>
    <col min="1" max="1" width="52.28515625" style="2" customWidth="1"/>
    <col min="2" max="2" width="171" style="2" customWidth="1"/>
    <col min="3" max="3" width="68.7109375" style="2" customWidth="1"/>
    <col min="4" max="4" width="102.28515625" style="2" customWidth="1"/>
    <col min="5" max="5" width="255.7109375" style="2" customWidth="1"/>
    <col min="6" max="6" width="177.5703125" style="2" customWidth="1"/>
    <col min="7" max="7" width="99" style="2" customWidth="1"/>
    <col min="8" max="8" width="222.85546875" style="2" customWidth="1"/>
    <col min="9" max="9" width="87.85546875" style="2" customWidth="1"/>
    <col min="10" max="10" width="86.42578125" style="2" customWidth="1"/>
    <col min="11" max="11" width="71.42578125" style="2" customWidth="1"/>
    <col min="12" max="12" width="78.5703125" style="2" customWidth="1"/>
    <col min="13" max="13" width="131.42578125" style="2" customWidth="1"/>
    <col min="14" max="14" width="78.5703125" style="2" customWidth="1"/>
    <col min="15" max="15" width="77.140625" style="2" customWidth="1"/>
    <col min="16" max="16" width="68.5703125" style="2" customWidth="1"/>
    <col min="17" max="17" width="102.85546875" style="2" customWidth="1"/>
    <col min="18" max="18" width="83.5703125" style="2" customWidth="1"/>
    <col min="19" max="19" width="255.7109375" style="2" customWidth="1"/>
    <col min="20" max="20" width="82.140625" style="2" customWidth="1"/>
    <col min="21" max="21" width="66.42578125" style="2" customWidth="1"/>
    <col min="22" max="22" width="92.140625" style="2" customWidth="1"/>
    <col min="23" max="23" width="61.42578125" style="2" customWidth="1"/>
    <col min="24" max="24" width="62.140625" style="2" customWidth="1"/>
    <col min="25" max="25" width="90.7109375" style="2" customWidth="1"/>
    <col min="26" max="26" width="87.85546875" style="2" customWidth="1"/>
    <col min="27" max="27" width="75.7109375" style="2" customWidth="1"/>
    <col min="28" max="28" width="102.140625" style="2" customWidth="1"/>
    <col min="29" max="29" width="75.7109375" style="2" customWidth="1"/>
    <col min="30" max="30" width="124.7109375" style="2" customWidth="1"/>
    <col min="31" max="31" width="88.5703125" style="2" customWidth="1"/>
    <col min="32" max="32" width="54.42578125" style="2" customWidth="1"/>
    <col min="33" max="33" width="52.5703125" style="2" customWidth="1"/>
    <col min="34" max="34" width="89.7109375" style="2" customWidth="1"/>
    <col min="35" max="35" width="131.42578125" style="2" customWidth="1"/>
    <col min="36" max="36" width="110.85546875" style="2" customWidth="1"/>
    <col min="37" max="37" width="75" style="2" customWidth="1"/>
    <col min="38" max="38" width="96.28515625" style="2" customWidth="1"/>
    <col min="39" max="43" width="87.140625" style="2" customWidth="1"/>
    <col min="44" max="44" width="122.85546875" style="2" customWidth="1"/>
    <col min="45" max="45" width="160.7109375" style="2" customWidth="1"/>
    <col min="46" max="46" width="74.28515625" style="2" customWidth="1"/>
    <col min="47" max="47" width="75" style="2" customWidth="1"/>
    <col min="48" max="48" width="70" style="2" customWidth="1"/>
    <col min="49" max="49" width="87.5703125" style="2" customWidth="1"/>
    <col min="50" max="50" width="112.5703125" style="2" customWidth="1"/>
    <col min="51" max="51" width="104.7109375" style="2" customWidth="1"/>
    <col min="52" max="52" width="74.140625" style="2" customWidth="1"/>
    <col min="53" max="53" width="72" style="2" customWidth="1"/>
    <col min="54" max="54" width="133.42578125" style="2" customWidth="1"/>
    <col min="55" max="55" width="109.85546875" style="2" customWidth="1"/>
    <col min="56" max="56" width="108.42578125" style="2" customWidth="1"/>
    <col min="57" max="57" width="144.85546875" style="2" customWidth="1"/>
    <col min="58" max="58" width="117.7109375" style="2" customWidth="1"/>
    <col min="59" max="59" width="122" style="2" customWidth="1"/>
    <col min="60" max="60" width="96.28515625" style="2" customWidth="1"/>
    <col min="61" max="61" width="87" style="2" customWidth="1"/>
    <col min="62" max="16384" width="9.140625" style="2"/>
  </cols>
  <sheetData>
    <row r="1" spans="1:62" ht="70.5" x14ac:dyDescent="0.95">
      <c r="A1" s="1"/>
      <c r="B1" s="1"/>
      <c r="C1" s="56"/>
      <c r="D1" s="56"/>
      <c r="E1" s="26"/>
      <c r="F1" s="103" t="s">
        <v>282</v>
      </c>
      <c r="G1" s="103"/>
      <c r="H1" s="35"/>
      <c r="I1" s="35"/>
      <c r="J1" s="35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E1" s="39"/>
      <c r="AI1" s="39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62" ht="69" customHeight="1" x14ac:dyDescent="0.95">
      <c r="A2" s="1"/>
      <c r="B2" s="1"/>
      <c r="C2" s="56"/>
      <c r="D2" s="56"/>
      <c r="E2" s="26"/>
      <c r="F2" s="103" t="s">
        <v>283</v>
      </c>
      <c r="G2" s="103"/>
      <c r="H2" s="26"/>
      <c r="I2" s="26"/>
      <c r="J2" s="61"/>
      <c r="K2" s="61"/>
      <c r="L2" s="61"/>
      <c r="M2" s="6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E2" s="39"/>
      <c r="AI2" s="3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62" ht="69" customHeight="1" x14ac:dyDescent="0.95">
      <c r="A3" s="1"/>
      <c r="B3" s="1"/>
      <c r="C3" s="104" t="s">
        <v>90</v>
      </c>
      <c r="D3" s="104"/>
      <c r="E3" s="104"/>
      <c r="F3" s="104"/>
      <c r="G3" s="104"/>
      <c r="H3" s="26"/>
      <c r="I3" s="26"/>
      <c r="J3" s="61"/>
      <c r="K3" s="61"/>
      <c r="L3" s="61"/>
      <c r="M3" s="6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E3" s="39"/>
      <c r="AI3" s="39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BH3" s="47"/>
    </row>
    <row r="4" spans="1:62" ht="60" customHeight="1" x14ac:dyDescent="0.95">
      <c r="A4" s="6"/>
      <c r="C4" s="108" t="s">
        <v>0</v>
      </c>
      <c r="D4" s="108"/>
      <c r="E4" s="108"/>
      <c r="F4" s="108"/>
      <c r="G4" s="109"/>
      <c r="H4" s="63"/>
      <c r="I4" s="64"/>
      <c r="J4" s="64"/>
      <c r="K4" s="64"/>
      <c r="L4" s="64"/>
      <c r="M4" s="57" t="s">
        <v>0</v>
      </c>
      <c r="N4" s="44"/>
      <c r="O4" s="44"/>
      <c r="P4" s="35"/>
      <c r="Q4" s="35"/>
      <c r="R4" s="35"/>
      <c r="S4" s="46" t="s">
        <v>0</v>
      </c>
      <c r="T4" s="35"/>
      <c r="U4" s="35"/>
      <c r="V4" s="35"/>
      <c r="W4" s="35"/>
      <c r="X4" s="35"/>
      <c r="Y4" s="35"/>
      <c r="Z4" s="35"/>
      <c r="AA4" s="46" t="s">
        <v>0</v>
      </c>
      <c r="AB4" s="35"/>
      <c r="AC4" s="35"/>
      <c r="AD4" s="7"/>
      <c r="AE4" s="35"/>
      <c r="AF4" s="7"/>
      <c r="AG4" s="7"/>
      <c r="AH4" s="7"/>
      <c r="AI4" s="46" t="s">
        <v>0</v>
      </c>
      <c r="AJ4" s="5"/>
      <c r="AK4" s="5"/>
      <c r="AL4" s="5"/>
      <c r="AM4" s="5"/>
      <c r="AN4" s="5"/>
      <c r="AP4" s="5"/>
      <c r="AQ4" s="47" t="s">
        <v>0</v>
      </c>
      <c r="AR4" s="5"/>
      <c r="AS4" s="5"/>
      <c r="AT4" s="5"/>
      <c r="AU4" s="5"/>
      <c r="AV4" s="47"/>
      <c r="AW4" s="47" t="s">
        <v>0</v>
      </c>
      <c r="AX4" s="4"/>
      <c r="AY4" s="4"/>
      <c r="BD4" s="47" t="s">
        <v>0</v>
      </c>
      <c r="BH4" s="47" t="s">
        <v>0</v>
      </c>
    </row>
    <row r="5" spans="1:62" s="9" customFormat="1" ht="81" hidden="1" customHeight="1" x14ac:dyDescent="1">
      <c r="A5" s="8"/>
      <c r="B5" s="8"/>
      <c r="C5" s="58"/>
      <c r="D5" s="58"/>
      <c r="E5" s="59"/>
      <c r="F5" s="58"/>
      <c r="G5" s="60"/>
      <c r="H5" s="65"/>
      <c r="I5" s="58"/>
      <c r="J5" s="66"/>
      <c r="K5" s="58" t="s">
        <v>0</v>
      </c>
      <c r="L5" s="58"/>
      <c r="M5" s="60"/>
      <c r="N5" s="8"/>
      <c r="O5" s="8"/>
      <c r="P5" s="8"/>
      <c r="Q5" s="8"/>
      <c r="R5" s="8"/>
      <c r="S5" s="8"/>
      <c r="AA5" s="8" t="s">
        <v>0</v>
      </c>
      <c r="AB5" s="8"/>
      <c r="AD5" s="8"/>
      <c r="AF5" s="8"/>
      <c r="AG5" s="8"/>
      <c r="AH5" s="8"/>
      <c r="AI5" s="8" t="s">
        <v>0</v>
      </c>
      <c r="AJ5" s="8"/>
      <c r="AL5" s="8" t="s">
        <v>0</v>
      </c>
      <c r="AR5" s="8"/>
      <c r="AS5" s="8"/>
      <c r="AT5" s="8"/>
      <c r="AU5" s="8"/>
      <c r="AV5" s="8"/>
      <c r="AW5" s="8" t="s">
        <v>0</v>
      </c>
      <c r="AX5" s="8"/>
      <c r="AY5" s="8"/>
      <c r="BH5" s="8" t="s">
        <v>0</v>
      </c>
    </row>
    <row r="6" spans="1:62" s="10" customFormat="1" ht="97.5" customHeight="1" x14ac:dyDescent="0.2">
      <c r="A6" s="73" t="s">
        <v>1</v>
      </c>
      <c r="B6" s="73" t="s">
        <v>48</v>
      </c>
      <c r="C6" s="77" t="s">
        <v>2</v>
      </c>
      <c r="D6" s="78"/>
      <c r="E6" s="78"/>
      <c r="F6" s="78"/>
      <c r="G6" s="79"/>
      <c r="H6" s="77" t="s">
        <v>81</v>
      </c>
      <c r="I6" s="78"/>
      <c r="J6" s="78"/>
      <c r="K6" s="78"/>
      <c r="L6" s="78"/>
      <c r="M6" s="79"/>
      <c r="N6" s="77" t="s">
        <v>81</v>
      </c>
      <c r="O6" s="78"/>
      <c r="P6" s="78"/>
      <c r="Q6" s="78"/>
      <c r="R6" s="78"/>
      <c r="S6" s="79"/>
      <c r="T6" s="77" t="s">
        <v>81</v>
      </c>
      <c r="U6" s="78"/>
      <c r="V6" s="78"/>
      <c r="W6" s="78"/>
      <c r="X6" s="78"/>
      <c r="Y6" s="78"/>
      <c r="Z6" s="78"/>
      <c r="AA6" s="79"/>
      <c r="AB6" s="77" t="s">
        <v>2</v>
      </c>
      <c r="AC6" s="78"/>
      <c r="AD6" s="78"/>
      <c r="AE6" s="78"/>
      <c r="AF6" s="78"/>
      <c r="AG6" s="78"/>
      <c r="AH6" s="78"/>
      <c r="AI6" s="79"/>
      <c r="AJ6" s="73" t="s">
        <v>47</v>
      </c>
      <c r="AK6" s="73"/>
      <c r="AL6" s="73"/>
      <c r="AM6" s="73"/>
      <c r="AN6" s="73"/>
      <c r="AO6" s="73"/>
      <c r="AP6" s="73"/>
      <c r="AQ6" s="73"/>
      <c r="AR6" s="79" t="s">
        <v>47</v>
      </c>
      <c r="AS6" s="73"/>
      <c r="AT6" s="73"/>
      <c r="AU6" s="73"/>
      <c r="AV6" s="73"/>
      <c r="AW6" s="73" t="s">
        <v>3</v>
      </c>
      <c r="AX6" s="73" t="s">
        <v>289</v>
      </c>
      <c r="AY6" s="73"/>
      <c r="AZ6" s="73"/>
      <c r="BA6" s="73"/>
      <c r="BB6" s="73"/>
      <c r="BC6" s="73"/>
      <c r="BD6" s="73"/>
      <c r="BE6" s="77" t="s">
        <v>289</v>
      </c>
      <c r="BF6" s="78"/>
      <c r="BG6" s="79"/>
      <c r="BH6" s="95" t="s">
        <v>3</v>
      </c>
      <c r="BI6" s="41"/>
      <c r="BJ6" s="40"/>
    </row>
    <row r="7" spans="1:62" s="10" customFormat="1" ht="54" customHeight="1" x14ac:dyDescent="0.2">
      <c r="A7" s="73"/>
      <c r="B7" s="73"/>
      <c r="C7" s="77" t="s">
        <v>4</v>
      </c>
      <c r="D7" s="78"/>
      <c r="E7" s="78"/>
      <c r="F7" s="78"/>
      <c r="G7" s="79"/>
      <c r="H7" s="77" t="s">
        <v>4</v>
      </c>
      <c r="I7" s="78"/>
      <c r="J7" s="78"/>
      <c r="K7" s="78"/>
      <c r="L7" s="78"/>
      <c r="M7" s="79"/>
      <c r="N7" s="77" t="s">
        <v>4</v>
      </c>
      <c r="O7" s="78"/>
      <c r="P7" s="78"/>
      <c r="Q7" s="78"/>
      <c r="R7" s="78"/>
      <c r="S7" s="43" t="s">
        <v>5</v>
      </c>
      <c r="T7" s="77" t="s">
        <v>4</v>
      </c>
      <c r="U7" s="79"/>
      <c r="V7" s="77" t="s">
        <v>5</v>
      </c>
      <c r="W7" s="78"/>
      <c r="X7" s="78"/>
      <c r="Y7" s="78"/>
      <c r="Z7" s="78"/>
      <c r="AA7" s="79"/>
      <c r="AB7" s="77" t="s">
        <v>4</v>
      </c>
      <c r="AC7" s="78"/>
      <c r="AD7" s="79"/>
      <c r="AE7" s="77" t="s">
        <v>5</v>
      </c>
      <c r="AF7" s="78"/>
      <c r="AG7" s="78"/>
      <c r="AH7" s="78"/>
      <c r="AI7" s="79"/>
      <c r="AJ7" s="68" t="s">
        <v>4</v>
      </c>
      <c r="AK7" s="69"/>
      <c r="AL7" s="69"/>
      <c r="AM7" s="69"/>
      <c r="AN7" s="69"/>
      <c r="AO7" s="69"/>
      <c r="AP7" s="69"/>
      <c r="AQ7" s="70"/>
      <c r="AR7" s="55" t="s">
        <v>4</v>
      </c>
      <c r="AS7" s="77" t="s">
        <v>5</v>
      </c>
      <c r="AT7" s="78"/>
      <c r="AU7" s="78"/>
      <c r="AV7" s="79"/>
      <c r="AW7" s="73"/>
      <c r="AX7" s="73" t="s">
        <v>4</v>
      </c>
      <c r="AY7" s="73"/>
      <c r="AZ7" s="73"/>
      <c r="BA7" s="73" t="s">
        <v>5</v>
      </c>
      <c r="BB7" s="73"/>
      <c r="BC7" s="73" t="s">
        <v>4</v>
      </c>
      <c r="BD7" s="73"/>
      <c r="BE7" s="55" t="s">
        <v>4</v>
      </c>
      <c r="BF7" s="77" t="s">
        <v>5</v>
      </c>
      <c r="BG7" s="79"/>
      <c r="BH7" s="95"/>
      <c r="BI7" s="42"/>
      <c r="BJ7" s="40"/>
    </row>
    <row r="8" spans="1:62" s="10" customFormat="1" ht="57" customHeight="1" x14ac:dyDescent="0.8">
      <c r="A8" s="73"/>
      <c r="B8" s="73"/>
      <c r="C8" s="27"/>
      <c r="D8" s="54"/>
      <c r="E8" s="74" t="s">
        <v>6</v>
      </c>
      <c r="F8" s="75"/>
      <c r="G8" s="76"/>
      <c r="H8" s="67" t="s">
        <v>6</v>
      </c>
      <c r="I8" s="80" t="s">
        <v>88</v>
      </c>
      <c r="J8" s="75"/>
      <c r="K8" s="75"/>
      <c r="L8" s="75"/>
      <c r="M8" s="76"/>
      <c r="N8" s="74" t="s">
        <v>88</v>
      </c>
      <c r="O8" s="75"/>
      <c r="P8" s="75"/>
      <c r="Q8" s="75"/>
      <c r="R8" s="75"/>
      <c r="S8" s="76"/>
      <c r="T8" s="74" t="s">
        <v>88</v>
      </c>
      <c r="U8" s="75"/>
      <c r="V8" s="75"/>
      <c r="W8" s="75"/>
      <c r="X8" s="75"/>
      <c r="Y8" s="75"/>
      <c r="Z8" s="75"/>
      <c r="AA8" s="76"/>
      <c r="AB8" s="74" t="s">
        <v>264</v>
      </c>
      <c r="AC8" s="75"/>
      <c r="AD8" s="75"/>
      <c r="AE8" s="75"/>
      <c r="AF8" s="75"/>
      <c r="AG8" s="75"/>
      <c r="AH8" s="75"/>
      <c r="AI8" s="76"/>
      <c r="AJ8" s="32"/>
      <c r="AK8" s="74" t="s">
        <v>7</v>
      </c>
      <c r="AL8" s="75"/>
      <c r="AM8" s="75"/>
      <c r="AN8" s="75"/>
      <c r="AO8" s="75"/>
      <c r="AP8" s="75"/>
      <c r="AQ8" s="76"/>
      <c r="AR8" s="75" t="s">
        <v>7</v>
      </c>
      <c r="AS8" s="75"/>
      <c r="AT8" s="75"/>
      <c r="AU8" s="75"/>
      <c r="AV8" s="76"/>
      <c r="AW8" s="73"/>
      <c r="AX8" s="72" t="s">
        <v>88</v>
      </c>
      <c r="AY8" s="72"/>
      <c r="AZ8" s="72"/>
      <c r="BA8" s="72"/>
      <c r="BB8" s="43" t="s">
        <v>287</v>
      </c>
      <c r="BC8" s="72" t="s">
        <v>7</v>
      </c>
      <c r="BD8" s="72"/>
      <c r="BE8" s="85" t="s">
        <v>7</v>
      </c>
      <c r="BF8" s="86"/>
      <c r="BG8" s="87"/>
      <c r="BH8" s="95"/>
      <c r="BI8" s="42"/>
      <c r="BJ8" s="40"/>
    </row>
    <row r="9" spans="1:62" s="10" customFormat="1" ht="58.5" customHeight="1" x14ac:dyDescent="0.2">
      <c r="A9" s="73"/>
      <c r="B9" s="73"/>
      <c r="C9" s="11" t="s">
        <v>91</v>
      </c>
      <c r="D9" s="11" t="s">
        <v>103</v>
      </c>
      <c r="E9" s="11" t="s">
        <v>92</v>
      </c>
      <c r="F9" s="11" t="s">
        <v>93</v>
      </c>
      <c r="G9" s="11" t="s">
        <v>94</v>
      </c>
      <c r="H9" s="11" t="s">
        <v>95</v>
      </c>
      <c r="I9" s="11" t="s">
        <v>248</v>
      </c>
      <c r="J9" s="74" t="s">
        <v>188</v>
      </c>
      <c r="K9" s="75"/>
      <c r="L9" s="75"/>
      <c r="M9" s="76"/>
      <c r="N9" s="11" t="s">
        <v>240</v>
      </c>
      <c r="O9" s="11" t="s">
        <v>250</v>
      </c>
      <c r="P9" s="11" t="s">
        <v>170</v>
      </c>
      <c r="Q9" s="11" t="s">
        <v>171</v>
      </c>
      <c r="R9" s="11" t="s">
        <v>96</v>
      </c>
      <c r="S9" s="11" t="s">
        <v>272</v>
      </c>
      <c r="T9" s="99" t="s">
        <v>214</v>
      </c>
      <c r="U9" s="99"/>
      <c r="V9" s="99"/>
      <c r="W9" s="99"/>
      <c r="X9" s="99"/>
      <c r="Y9" s="99"/>
      <c r="Z9" s="99"/>
      <c r="AA9" s="99"/>
      <c r="AB9" s="53" t="s">
        <v>263</v>
      </c>
      <c r="AC9" s="53" t="s">
        <v>194</v>
      </c>
      <c r="AD9" s="11" t="s">
        <v>269</v>
      </c>
      <c r="AE9" s="53" t="s">
        <v>193</v>
      </c>
      <c r="AF9" s="74" t="s">
        <v>97</v>
      </c>
      <c r="AG9" s="75"/>
      <c r="AH9" s="76"/>
      <c r="AI9" s="11" t="s">
        <v>194</v>
      </c>
      <c r="AJ9" s="11" t="s">
        <v>246</v>
      </c>
      <c r="AK9" s="74" t="s">
        <v>98</v>
      </c>
      <c r="AL9" s="75"/>
      <c r="AM9" s="76"/>
      <c r="AN9" s="74" t="s">
        <v>254</v>
      </c>
      <c r="AO9" s="75"/>
      <c r="AP9" s="76"/>
      <c r="AQ9" s="11" t="s">
        <v>228</v>
      </c>
      <c r="AR9" s="52" t="s">
        <v>99</v>
      </c>
      <c r="AS9" s="74" t="s">
        <v>98</v>
      </c>
      <c r="AT9" s="76"/>
      <c r="AU9" s="11" t="s">
        <v>228</v>
      </c>
      <c r="AV9" s="11" t="s">
        <v>267</v>
      </c>
      <c r="AW9" s="73"/>
      <c r="AX9" s="11" t="s">
        <v>224</v>
      </c>
      <c r="AY9" s="11" t="s">
        <v>236</v>
      </c>
      <c r="AZ9" s="94" t="s">
        <v>209</v>
      </c>
      <c r="BA9" s="94"/>
      <c r="BB9" s="11" t="s">
        <v>197</v>
      </c>
      <c r="BC9" s="94" t="s">
        <v>201</v>
      </c>
      <c r="BD9" s="94"/>
      <c r="BE9" s="96" t="s">
        <v>201</v>
      </c>
      <c r="BF9" s="97"/>
      <c r="BG9" s="98"/>
      <c r="BH9" s="95"/>
      <c r="BI9" s="42"/>
      <c r="BJ9" s="40"/>
    </row>
    <row r="10" spans="1:62" s="51" customFormat="1" ht="63" customHeight="1" x14ac:dyDescent="0.65">
      <c r="A10" s="73"/>
      <c r="B10" s="73"/>
      <c r="C10" s="81" t="s">
        <v>85</v>
      </c>
      <c r="D10" s="82" t="s">
        <v>172</v>
      </c>
      <c r="E10" s="82" t="s">
        <v>274</v>
      </c>
      <c r="F10" s="81" t="s">
        <v>275</v>
      </c>
      <c r="G10" s="81" t="s">
        <v>276</v>
      </c>
      <c r="H10" s="81" t="s">
        <v>277</v>
      </c>
      <c r="I10" s="82" t="s">
        <v>290</v>
      </c>
      <c r="J10" s="81" t="s">
        <v>278</v>
      </c>
      <c r="K10" s="100" t="s">
        <v>288</v>
      </c>
      <c r="L10" s="101"/>
      <c r="M10" s="102"/>
      <c r="N10" s="82" t="s">
        <v>241</v>
      </c>
      <c r="O10" s="82" t="s">
        <v>251</v>
      </c>
      <c r="P10" s="81" t="s">
        <v>279</v>
      </c>
      <c r="Q10" s="82" t="s">
        <v>280</v>
      </c>
      <c r="R10" s="81" t="s">
        <v>281</v>
      </c>
      <c r="S10" s="105" t="s">
        <v>273</v>
      </c>
      <c r="T10" s="81" t="s">
        <v>213</v>
      </c>
      <c r="U10" s="71" t="s">
        <v>218</v>
      </c>
      <c r="V10" s="71"/>
      <c r="W10" s="71"/>
      <c r="X10" s="71"/>
      <c r="Y10" s="71"/>
      <c r="Z10" s="71"/>
      <c r="AA10" s="71"/>
      <c r="AB10" s="82" t="s">
        <v>265</v>
      </c>
      <c r="AC10" s="81" t="s">
        <v>196</v>
      </c>
      <c r="AD10" s="82" t="s">
        <v>235</v>
      </c>
      <c r="AE10" s="81" t="s">
        <v>195</v>
      </c>
      <c r="AF10" s="89" t="s">
        <v>104</v>
      </c>
      <c r="AG10" s="81" t="s">
        <v>8</v>
      </c>
      <c r="AH10" s="48" t="s">
        <v>192</v>
      </c>
      <c r="AI10" s="81" t="s">
        <v>196</v>
      </c>
      <c r="AJ10" s="82" t="s">
        <v>247</v>
      </c>
      <c r="AK10" s="81" t="s">
        <v>173</v>
      </c>
      <c r="AL10" s="81" t="s">
        <v>102</v>
      </c>
      <c r="AM10" s="81" t="s">
        <v>89</v>
      </c>
      <c r="AN10" s="81" t="s">
        <v>217</v>
      </c>
      <c r="AO10" s="82" t="s">
        <v>216</v>
      </c>
      <c r="AP10" s="82" t="s">
        <v>255</v>
      </c>
      <c r="AQ10" s="81" t="s">
        <v>229</v>
      </c>
      <c r="AR10" s="81" t="s">
        <v>82</v>
      </c>
      <c r="AS10" s="81" t="s">
        <v>86</v>
      </c>
      <c r="AT10" s="81" t="s">
        <v>101</v>
      </c>
      <c r="AU10" s="88" t="s">
        <v>245</v>
      </c>
      <c r="AV10" s="89"/>
      <c r="AW10" s="73"/>
      <c r="AX10" s="81" t="s">
        <v>225</v>
      </c>
      <c r="AY10" s="82" t="s">
        <v>237</v>
      </c>
      <c r="AZ10" s="88" t="s">
        <v>210</v>
      </c>
      <c r="BA10" s="89"/>
      <c r="BB10" s="81" t="s">
        <v>198</v>
      </c>
      <c r="BC10" s="82" t="s">
        <v>249</v>
      </c>
      <c r="BD10" s="81" t="s">
        <v>200</v>
      </c>
      <c r="BE10" s="81" t="s">
        <v>202</v>
      </c>
      <c r="BF10" s="82" t="s">
        <v>268</v>
      </c>
      <c r="BG10" s="81" t="s">
        <v>200</v>
      </c>
      <c r="BH10" s="95"/>
      <c r="BI10" s="49"/>
      <c r="BJ10" s="50"/>
    </row>
    <row r="11" spans="1:62" s="51" customFormat="1" ht="242.25" customHeight="1" x14ac:dyDescent="0.65">
      <c r="A11" s="73"/>
      <c r="B11" s="73"/>
      <c r="C11" s="81"/>
      <c r="D11" s="84"/>
      <c r="E11" s="84"/>
      <c r="F11" s="81"/>
      <c r="G11" s="81"/>
      <c r="H11" s="81"/>
      <c r="I11" s="84"/>
      <c r="J11" s="81"/>
      <c r="K11" s="81" t="s">
        <v>189</v>
      </c>
      <c r="L11" s="82" t="s">
        <v>270</v>
      </c>
      <c r="M11" s="82" t="s">
        <v>271</v>
      </c>
      <c r="N11" s="84"/>
      <c r="O11" s="84"/>
      <c r="P11" s="81"/>
      <c r="Q11" s="84"/>
      <c r="R11" s="81"/>
      <c r="S11" s="106"/>
      <c r="T11" s="81"/>
      <c r="U11" s="71" t="s">
        <v>215</v>
      </c>
      <c r="V11" s="71" t="s">
        <v>219</v>
      </c>
      <c r="W11" s="71" t="s">
        <v>220</v>
      </c>
      <c r="X11" s="71" t="s">
        <v>221</v>
      </c>
      <c r="Y11" s="71" t="s">
        <v>262</v>
      </c>
      <c r="Z11" s="71" t="s">
        <v>222</v>
      </c>
      <c r="AA11" s="71" t="s">
        <v>223</v>
      </c>
      <c r="AB11" s="84"/>
      <c r="AC11" s="81"/>
      <c r="AD11" s="84"/>
      <c r="AE11" s="81"/>
      <c r="AF11" s="91"/>
      <c r="AG11" s="81"/>
      <c r="AH11" s="82" t="s">
        <v>266</v>
      </c>
      <c r="AI11" s="81"/>
      <c r="AJ11" s="84"/>
      <c r="AK11" s="81"/>
      <c r="AL11" s="81"/>
      <c r="AM11" s="81"/>
      <c r="AN11" s="81"/>
      <c r="AO11" s="84"/>
      <c r="AP11" s="84"/>
      <c r="AQ11" s="81"/>
      <c r="AR11" s="81"/>
      <c r="AS11" s="81"/>
      <c r="AT11" s="81"/>
      <c r="AU11" s="90"/>
      <c r="AV11" s="91"/>
      <c r="AW11" s="73"/>
      <c r="AX11" s="81"/>
      <c r="AY11" s="84"/>
      <c r="AZ11" s="90"/>
      <c r="BA11" s="91"/>
      <c r="BB11" s="81"/>
      <c r="BC11" s="84"/>
      <c r="BD11" s="81"/>
      <c r="BE11" s="81"/>
      <c r="BF11" s="84"/>
      <c r="BG11" s="81"/>
      <c r="BH11" s="95"/>
      <c r="BI11" s="49"/>
      <c r="BJ11" s="50"/>
    </row>
    <row r="12" spans="1:62" s="23" customFormat="1" ht="143.25" customHeight="1" x14ac:dyDescent="0.65">
      <c r="A12" s="73"/>
      <c r="B12" s="73"/>
      <c r="C12" s="81"/>
      <c r="D12" s="83"/>
      <c r="E12" s="83"/>
      <c r="F12" s="81"/>
      <c r="G12" s="81"/>
      <c r="H12" s="81"/>
      <c r="I12" s="83"/>
      <c r="J12" s="81"/>
      <c r="K12" s="81"/>
      <c r="L12" s="83"/>
      <c r="M12" s="83"/>
      <c r="N12" s="83"/>
      <c r="O12" s="83"/>
      <c r="P12" s="81"/>
      <c r="Q12" s="83"/>
      <c r="R12" s="81"/>
      <c r="S12" s="107"/>
      <c r="T12" s="81"/>
      <c r="U12" s="71"/>
      <c r="V12" s="71"/>
      <c r="W12" s="71"/>
      <c r="X12" s="71"/>
      <c r="Y12" s="71"/>
      <c r="Z12" s="71"/>
      <c r="AA12" s="71"/>
      <c r="AB12" s="83"/>
      <c r="AC12" s="81"/>
      <c r="AD12" s="83"/>
      <c r="AE12" s="81"/>
      <c r="AF12" s="93"/>
      <c r="AG12" s="81"/>
      <c r="AH12" s="83"/>
      <c r="AI12" s="81"/>
      <c r="AJ12" s="83"/>
      <c r="AK12" s="81"/>
      <c r="AL12" s="81"/>
      <c r="AM12" s="81"/>
      <c r="AN12" s="81"/>
      <c r="AO12" s="83"/>
      <c r="AP12" s="83"/>
      <c r="AQ12" s="81"/>
      <c r="AR12" s="81"/>
      <c r="AS12" s="81"/>
      <c r="AT12" s="81"/>
      <c r="AU12" s="92"/>
      <c r="AV12" s="93"/>
      <c r="AW12" s="73"/>
      <c r="AX12" s="81"/>
      <c r="AY12" s="83"/>
      <c r="AZ12" s="92"/>
      <c r="BA12" s="93"/>
      <c r="BB12" s="81"/>
      <c r="BC12" s="83"/>
      <c r="BD12" s="81"/>
      <c r="BE12" s="81"/>
      <c r="BF12" s="83"/>
      <c r="BG12" s="81"/>
      <c r="BH12" s="95"/>
      <c r="BI12" s="49"/>
    </row>
    <row r="13" spans="1:62" ht="70.5" customHeight="1" x14ac:dyDescent="0.8">
      <c r="A13" s="12" t="s">
        <v>12</v>
      </c>
      <c r="B13" s="13" t="s">
        <v>51</v>
      </c>
      <c r="C13" s="34"/>
      <c r="D13" s="34"/>
      <c r="E13" s="34">
        <v>26483000</v>
      </c>
      <c r="F13" s="34">
        <v>32078700</v>
      </c>
      <c r="G13" s="34">
        <v>5000</v>
      </c>
      <c r="H13" s="33">
        <v>76898</v>
      </c>
      <c r="I13" s="33"/>
      <c r="J13" s="33">
        <f>K13+L13+M13</f>
        <v>0</v>
      </c>
      <c r="K13" s="33"/>
      <c r="L13" s="33"/>
      <c r="M13" s="33"/>
      <c r="N13" s="33">
        <v>572097</v>
      </c>
      <c r="O13" s="33">
        <v>86269</v>
      </c>
      <c r="P13" s="33">
        <v>491667</v>
      </c>
      <c r="Q13" s="33"/>
      <c r="R13" s="33"/>
      <c r="S13" s="33"/>
      <c r="T13" s="33">
        <f t="shared" ref="T13:T37" si="0">U13+V13+W13+X13+Y13+Z13+AA13</f>
        <v>68740</v>
      </c>
      <c r="U13" s="33"/>
      <c r="V13" s="33"/>
      <c r="W13" s="33">
        <f>68740</f>
        <v>68740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>
        <f>500000+30000</f>
        <v>530000</v>
      </c>
      <c r="AL13" s="33"/>
      <c r="AM13" s="33"/>
      <c r="AN13" s="33"/>
      <c r="AO13" s="33">
        <v>900000</v>
      </c>
      <c r="AP13" s="33"/>
      <c r="AQ13" s="33"/>
      <c r="AR13" s="33"/>
      <c r="AS13" s="33"/>
      <c r="AT13" s="33"/>
      <c r="AU13" s="33"/>
      <c r="AV13" s="33"/>
      <c r="AW13" s="33">
        <f t="shared" ref="AW13:AW44" si="1">SUM(C13:AV13)-U13-V13-W13-X13-Y13-Z13-AA13-AH13-K13-L13-M13</f>
        <v>61292371</v>
      </c>
      <c r="AX13" s="33"/>
      <c r="AY13" s="33"/>
      <c r="AZ13" s="33"/>
      <c r="BA13" s="33"/>
      <c r="BB13" s="33"/>
      <c r="BC13" s="33"/>
      <c r="BD13" s="33">
        <v>23300</v>
      </c>
      <c r="BE13" s="33"/>
      <c r="BF13" s="33"/>
      <c r="BG13" s="33"/>
      <c r="BH13" s="33">
        <f t="shared" ref="BH13:BH54" si="2">SUM(AX13:BG13)</f>
        <v>23300</v>
      </c>
      <c r="BI13" s="33"/>
    </row>
    <row r="14" spans="1:62" ht="70.5" customHeight="1" x14ac:dyDescent="0.8">
      <c r="A14" s="12" t="s">
        <v>13</v>
      </c>
      <c r="B14" s="13" t="s">
        <v>87</v>
      </c>
      <c r="C14" s="30"/>
      <c r="D14" s="30"/>
      <c r="E14" s="30">
        <v>1077683200</v>
      </c>
      <c r="F14" s="30">
        <v>1103149900</v>
      </c>
      <c r="G14" s="30">
        <v>988300</v>
      </c>
      <c r="H14" s="29">
        <v>13533570</v>
      </c>
      <c r="I14" s="29">
        <v>1114357</v>
      </c>
      <c r="J14" s="33">
        <f t="shared" ref="J14:J25" si="3">K14+L14+M14</f>
        <v>0</v>
      </c>
      <c r="K14" s="29"/>
      <c r="L14" s="29"/>
      <c r="M14" s="29"/>
      <c r="N14" s="29">
        <v>21031131</v>
      </c>
      <c r="O14" s="29">
        <v>3171362.39</v>
      </c>
      <c r="P14" s="29">
        <v>29318894</v>
      </c>
      <c r="Q14" s="29"/>
      <c r="R14" s="29"/>
      <c r="S14" s="33"/>
      <c r="T14" s="33">
        <f t="shared" si="0"/>
        <v>4819552</v>
      </c>
      <c r="U14" s="29"/>
      <c r="V14" s="29"/>
      <c r="W14" s="29">
        <f>1809832</f>
        <v>1809832</v>
      </c>
      <c r="X14" s="29">
        <f>400000</f>
        <v>400000</v>
      </c>
      <c r="Y14" s="29">
        <f>1834300</f>
        <v>1834300</v>
      </c>
      <c r="Z14" s="29">
        <f>775420</f>
        <v>775420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>
        <f>15920000-130000</f>
        <v>15790000</v>
      </c>
      <c r="AL14" s="29"/>
      <c r="AM14" s="29"/>
      <c r="AN14" s="29"/>
      <c r="AO14" s="29">
        <v>4500000</v>
      </c>
      <c r="AP14" s="29">
        <v>6600000</v>
      </c>
      <c r="AQ14" s="29">
        <v>39000</v>
      </c>
      <c r="AR14" s="29"/>
      <c r="AS14" s="29"/>
      <c r="AT14" s="29"/>
      <c r="AU14" s="33"/>
      <c r="AV14" s="33"/>
      <c r="AW14" s="33">
        <f t="shared" si="1"/>
        <v>2281739266.3899999</v>
      </c>
      <c r="AX14" s="33"/>
      <c r="AY14" s="33"/>
      <c r="AZ14" s="29"/>
      <c r="BA14" s="29"/>
      <c r="BB14" s="29"/>
      <c r="BC14" s="29"/>
      <c r="BD14" s="29"/>
      <c r="BE14" s="29">
        <v>2150000</v>
      </c>
      <c r="BF14" s="29">
        <f>98000</f>
        <v>98000</v>
      </c>
      <c r="BG14" s="29">
        <f>2105760-1102760</f>
        <v>1003000</v>
      </c>
      <c r="BH14" s="33">
        <f t="shared" si="2"/>
        <v>3251000</v>
      </c>
      <c r="BI14" s="29"/>
    </row>
    <row r="15" spans="1:62" ht="70.5" customHeight="1" x14ac:dyDescent="0.8">
      <c r="A15" s="12" t="s">
        <v>14</v>
      </c>
      <c r="B15" s="13" t="s">
        <v>169</v>
      </c>
      <c r="C15" s="30"/>
      <c r="D15" s="30"/>
      <c r="E15" s="30">
        <v>294371600</v>
      </c>
      <c r="F15" s="30">
        <v>452858700</v>
      </c>
      <c r="G15" s="30">
        <v>334800</v>
      </c>
      <c r="H15" s="29">
        <v>9371121</v>
      </c>
      <c r="I15" s="29"/>
      <c r="J15" s="33">
        <f t="shared" si="3"/>
        <v>0</v>
      </c>
      <c r="K15" s="29"/>
      <c r="L15" s="29"/>
      <c r="M15" s="29"/>
      <c r="N15" s="29">
        <v>5889997</v>
      </c>
      <c r="O15" s="29">
        <v>888177</v>
      </c>
      <c r="P15" s="29">
        <v>6966835</v>
      </c>
      <c r="Q15" s="29"/>
      <c r="R15" s="29"/>
      <c r="S15" s="33"/>
      <c r="T15" s="33">
        <f t="shared" si="0"/>
        <v>11468868</v>
      </c>
      <c r="U15" s="29">
        <f>10000000</f>
        <v>10000000</v>
      </c>
      <c r="V15" s="29"/>
      <c r="W15" s="29">
        <f>781918</f>
        <v>781918</v>
      </c>
      <c r="X15" s="29">
        <f>400000</f>
        <v>400000</v>
      </c>
      <c r="Y15" s="29">
        <f>122285</f>
        <v>122285</v>
      </c>
      <c r="Z15" s="29">
        <f>164665</f>
        <v>164665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>
        <v>1020000</v>
      </c>
      <c r="AL15" s="29"/>
      <c r="AM15" s="29"/>
      <c r="AN15" s="29">
        <v>1000000</v>
      </c>
      <c r="AO15" s="29"/>
      <c r="AP15" s="29">
        <v>550000</v>
      </c>
      <c r="AQ15" s="29"/>
      <c r="AR15" s="29"/>
      <c r="AS15" s="29"/>
      <c r="AT15" s="29"/>
      <c r="AU15" s="33"/>
      <c r="AV15" s="33"/>
      <c r="AW15" s="33">
        <f t="shared" si="1"/>
        <v>784720098</v>
      </c>
      <c r="AX15" s="33"/>
      <c r="AY15" s="33"/>
      <c r="AZ15" s="29"/>
      <c r="BA15" s="29">
        <v>2000000</v>
      </c>
      <c r="BB15" s="29">
        <v>20000000</v>
      </c>
      <c r="BC15" s="29"/>
      <c r="BD15" s="29"/>
      <c r="BE15" s="29"/>
      <c r="BF15" s="29"/>
      <c r="BG15" s="29"/>
      <c r="BH15" s="33">
        <f t="shared" si="2"/>
        <v>22000000</v>
      </c>
      <c r="BI15" s="29"/>
    </row>
    <row r="16" spans="1:62" ht="70.5" customHeight="1" x14ac:dyDescent="0.8">
      <c r="A16" s="12" t="s">
        <v>15</v>
      </c>
      <c r="B16" s="13" t="s">
        <v>52</v>
      </c>
      <c r="C16" s="30"/>
      <c r="D16" s="30"/>
      <c r="E16" s="30">
        <v>71934400</v>
      </c>
      <c r="F16" s="30">
        <v>135723000</v>
      </c>
      <c r="G16" s="30">
        <v>1224300</v>
      </c>
      <c r="H16" s="29">
        <v>2023634</v>
      </c>
      <c r="I16" s="29"/>
      <c r="J16" s="33">
        <f t="shared" si="3"/>
        <v>0</v>
      </c>
      <c r="K16" s="29"/>
      <c r="L16" s="29"/>
      <c r="M16" s="29"/>
      <c r="N16" s="29">
        <v>945910</v>
      </c>
      <c r="O16" s="29">
        <v>142638</v>
      </c>
      <c r="P16" s="29">
        <v>1358775</v>
      </c>
      <c r="Q16" s="29"/>
      <c r="R16" s="29"/>
      <c r="S16" s="33"/>
      <c r="T16" s="33">
        <f t="shared" si="0"/>
        <v>242580</v>
      </c>
      <c r="U16" s="29"/>
      <c r="V16" s="29"/>
      <c r="W16" s="29">
        <f>120295</f>
        <v>120295</v>
      </c>
      <c r="X16" s="29"/>
      <c r="Y16" s="29">
        <f>122285</f>
        <v>122285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>
        <v>550000</v>
      </c>
      <c r="AL16" s="29"/>
      <c r="AM16" s="29"/>
      <c r="AN16" s="29">
        <v>1000000</v>
      </c>
      <c r="AO16" s="29">
        <v>450000</v>
      </c>
      <c r="AP16" s="29">
        <v>550000</v>
      </c>
      <c r="AQ16" s="29"/>
      <c r="AR16" s="29"/>
      <c r="AS16" s="29"/>
      <c r="AT16" s="29"/>
      <c r="AU16" s="33"/>
      <c r="AV16" s="33"/>
      <c r="AW16" s="33">
        <f t="shared" si="1"/>
        <v>216145237</v>
      </c>
      <c r="AX16" s="33"/>
      <c r="AY16" s="33"/>
      <c r="AZ16" s="29"/>
      <c r="BA16" s="29"/>
      <c r="BB16" s="29"/>
      <c r="BC16" s="29"/>
      <c r="BD16" s="29">
        <v>45800</v>
      </c>
      <c r="BE16" s="29"/>
      <c r="BF16" s="29"/>
      <c r="BG16" s="29"/>
      <c r="BH16" s="33">
        <f t="shared" si="2"/>
        <v>45800</v>
      </c>
      <c r="BI16" s="29"/>
    </row>
    <row r="17" spans="1:61" ht="70.5" customHeight="1" x14ac:dyDescent="0.8">
      <c r="A17" s="12" t="s">
        <v>16</v>
      </c>
      <c r="B17" s="13" t="s">
        <v>53</v>
      </c>
      <c r="C17" s="30"/>
      <c r="D17" s="30"/>
      <c r="E17" s="30">
        <v>796662400</v>
      </c>
      <c r="F17" s="30">
        <v>1165720000</v>
      </c>
      <c r="G17" s="29">
        <v>2233800</v>
      </c>
      <c r="H17" s="29">
        <v>11153950</v>
      </c>
      <c r="I17" s="29"/>
      <c r="J17" s="33">
        <f t="shared" si="3"/>
        <v>0</v>
      </c>
      <c r="K17" s="29"/>
      <c r="L17" s="29"/>
      <c r="M17" s="29"/>
      <c r="N17" s="29">
        <v>12235070</v>
      </c>
      <c r="O17" s="29">
        <v>1844977</v>
      </c>
      <c r="P17" s="29">
        <v>14416060</v>
      </c>
      <c r="Q17" s="29"/>
      <c r="R17" s="29"/>
      <c r="S17" s="33"/>
      <c r="T17" s="33">
        <f t="shared" si="0"/>
        <v>4007238</v>
      </c>
      <c r="U17" s="29"/>
      <c r="V17" s="29"/>
      <c r="W17" s="29">
        <f>2225458</f>
        <v>2225458</v>
      </c>
      <c r="X17" s="29"/>
      <c r="Y17" s="29">
        <f>1467420</f>
        <v>1467420</v>
      </c>
      <c r="Z17" s="29">
        <f>314360</f>
        <v>314360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>
        <f>14750000-1060000</f>
        <v>13690000</v>
      </c>
      <c r="AL17" s="29"/>
      <c r="AM17" s="29"/>
      <c r="AN17" s="29"/>
      <c r="AO17" s="29"/>
      <c r="AP17" s="29"/>
      <c r="AQ17" s="29">
        <v>52000</v>
      </c>
      <c r="AR17" s="29"/>
      <c r="AS17" s="29"/>
      <c r="AT17" s="29"/>
      <c r="AU17" s="33">
        <f>18000000</f>
        <v>18000000</v>
      </c>
      <c r="AV17" s="33">
        <v>25000000</v>
      </c>
      <c r="AW17" s="33">
        <f t="shared" si="1"/>
        <v>2065015495</v>
      </c>
      <c r="AX17" s="33"/>
      <c r="AY17" s="33"/>
      <c r="AZ17" s="29"/>
      <c r="BA17" s="29"/>
      <c r="BB17" s="29"/>
      <c r="BC17" s="29">
        <f>73086</f>
        <v>73086</v>
      </c>
      <c r="BD17" s="29"/>
      <c r="BE17" s="29"/>
      <c r="BF17" s="29"/>
      <c r="BG17" s="29"/>
      <c r="BH17" s="33">
        <f t="shared" si="2"/>
        <v>73086</v>
      </c>
      <c r="BI17" s="29"/>
    </row>
    <row r="18" spans="1:61" ht="70.5" customHeight="1" x14ac:dyDescent="0.8">
      <c r="A18" s="12" t="s">
        <v>17</v>
      </c>
      <c r="B18" s="13" t="s">
        <v>54</v>
      </c>
      <c r="C18" s="30"/>
      <c r="D18" s="30"/>
      <c r="E18" s="30">
        <v>68964300</v>
      </c>
      <c r="F18" s="30">
        <v>106012100</v>
      </c>
      <c r="G18" s="30">
        <v>162500</v>
      </c>
      <c r="H18" s="29">
        <v>5284823</v>
      </c>
      <c r="I18" s="29"/>
      <c r="J18" s="33">
        <f t="shared" si="3"/>
        <v>0</v>
      </c>
      <c r="K18" s="29"/>
      <c r="L18" s="29"/>
      <c r="M18" s="29"/>
      <c r="N18" s="29">
        <v>952411</v>
      </c>
      <c r="O18" s="29">
        <v>143618</v>
      </c>
      <c r="P18" s="29">
        <v>1354389</v>
      </c>
      <c r="Q18" s="29"/>
      <c r="R18" s="29"/>
      <c r="S18" s="33"/>
      <c r="T18" s="33">
        <f t="shared" si="0"/>
        <v>276950</v>
      </c>
      <c r="U18" s="29"/>
      <c r="V18" s="29"/>
      <c r="W18" s="29">
        <f>154665</f>
        <v>154665</v>
      </c>
      <c r="X18" s="29"/>
      <c r="Y18" s="29">
        <f>122285</f>
        <v>122285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>
        <v>1020000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33"/>
      <c r="AV18" s="33"/>
      <c r="AW18" s="33">
        <f t="shared" si="1"/>
        <v>184171091</v>
      </c>
      <c r="AX18" s="33"/>
      <c r="AY18" s="33"/>
      <c r="AZ18" s="29"/>
      <c r="BA18" s="29">
        <f>1500000+2500000</f>
        <v>4000000</v>
      </c>
      <c r="BB18" s="29"/>
      <c r="BC18" s="29"/>
      <c r="BD18" s="29"/>
      <c r="BE18" s="29"/>
      <c r="BF18" s="29"/>
      <c r="BG18" s="29">
        <v>25000</v>
      </c>
      <c r="BH18" s="33">
        <f t="shared" si="2"/>
        <v>4025000</v>
      </c>
      <c r="BI18" s="29"/>
    </row>
    <row r="19" spans="1:61" ht="70.5" customHeight="1" x14ac:dyDescent="0.8">
      <c r="A19" s="12" t="s">
        <v>18</v>
      </c>
      <c r="B19" s="13" t="s">
        <v>55</v>
      </c>
      <c r="C19" s="30"/>
      <c r="D19" s="30"/>
      <c r="E19" s="30">
        <v>166620300</v>
      </c>
      <c r="F19" s="30">
        <v>246693200</v>
      </c>
      <c r="G19" s="30">
        <v>182200</v>
      </c>
      <c r="H19" s="29">
        <v>3898869</v>
      </c>
      <c r="I19" s="29"/>
      <c r="J19" s="33">
        <f t="shared" si="3"/>
        <v>0</v>
      </c>
      <c r="K19" s="29"/>
      <c r="L19" s="29"/>
      <c r="M19" s="29"/>
      <c r="N19" s="29">
        <v>2454165</v>
      </c>
      <c r="O19" s="29">
        <v>370074</v>
      </c>
      <c r="P19" s="29">
        <v>2729470</v>
      </c>
      <c r="Q19" s="29"/>
      <c r="R19" s="29"/>
      <c r="S19" s="33"/>
      <c r="T19" s="33">
        <f t="shared" si="0"/>
        <v>520610</v>
      </c>
      <c r="U19" s="29"/>
      <c r="V19" s="29"/>
      <c r="W19" s="29">
        <f>403848</f>
        <v>403848</v>
      </c>
      <c r="X19" s="29"/>
      <c r="Y19" s="29"/>
      <c r="Z19" s="29">
        <f>116762</f>
        <v>116762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>
        <f>1700000-10000</f>
        <v>1690000</v>
      </c>
      <c r="AL19" s="29"/>
      <c r="AM19" s="29"/>
      <c r="AN19" s="29">
        <v>1000000</v>
      </c>
      <c r="AO19" s="29"/>
      <c r="AP19" s="29">
        <v>1100000</v>
      </c>
      <c r="AQ19" s="29">
        <v>13000</v>
      </c>
      <c r="AR19" s="29"/>
      <c r="AS19" s="29"/>
      <c r="AT19" s="29"/>
      <c r="AU19" s="33"/>
      <c r="AV19" s="33"/>
      <c r="AW19" s="33">
        <f t="shared" si="1"/>
        <v>427271888</v>
      </c>
      <c r="AX19" s="33"/>
      <c r="AY19" s="33"/>
      <c r="AZ19" s="29"/>
      <c r="BA19" s="29"/>
      <c r="BB19" s="29"/>
      <c r="BC19" s="29"/>
      <c r="BD19" s="29"/>
      <c r="BE19" s="29"/>
      <c r="BF19" s="29"/>
      <c r="BG19" s="29"/>
      <c r="BH19" s="33">
        <f t="shared" si="2"/>
        <v>0</v>
      </c>
      <c r="BI19" s="29"/>
    </row>
    <row r="20" spans="1:61" ht="70.5" customHeight="1" x14ac:dyDescent="0.8">
      <c r="A20" s="12" t="s">
        <v>19</v>
      </c>
      <c r="B20" s="13" t="s">
        <v>56</v>
      </c>
      <c r="C20" s="30"/>
      <c r="D20" s="30"/>
      <c r="E20" s="30">
        <v>98847600</v>
      </c>
      <c r="F20" s="30">
        <v>151767500</v>
      </c>
      <c r="G20" s="30">
        <v>148400</v>
      </c>
      <c r="H20" s="29">
        <v>1686435</v>
      </c>
      <c r="I20" s="29"/>
      <c r="J20" s="33">
        <f t="shared" si="3"/>
        <v>0</v>
      </c>
      <c r="K20" s="29"/>
      <c r="L20" s="29"/>
      <c r="M20" s="29"/>
      <c r="N20" s="29">
        <v>1309972</v>
      </c>
      <c r="O20" s="29">
        <v>197536</v>
      </c>
      <c r="P20" s="29">
        <v>1625919</v>
      </c>
      <c r="Q20" s="29"/>
      <c r="R20" s="29"/>
      <c r="S20" s="33"/>
      <c r="T20" s="33">
        <f t="shared" si="0"/>
        <v>405838</v>
      </c>
      <c r="U20" s="29"/>
      <c r="V20" s="29"/>
      <c r="W20" s="29">
        <f>283553</f>
        <v>283553</v>
      </c>
      <c r="X20" s="29"/>
      <c r="Y20" s="29">
        <f>122285</f>
        <v>122285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>
        <f>1100000+200000</f>
        <v>1300000</v>
      </c>
      <c r="AL20" s="29"/>
      <c r="AM20" s="29"/>
      <c r="AN20" s="29"/>
      <c r="AO20" s="29"/>
      <c r="AP20" s="29">
        <v>1100000</v>
      </c>
      <c r="AQ20" s="29"/>
      <c r="AR20" s="29"/>
      <c r="AS20" s="29"/>
      <c r="AT20" s="29"/>
      <c r="AU20" s="33"/>
      <c r="AV20" s="33"/>
      <c r="AW20" s="33">
        <f t="shared" si="1"/>
        <v>258389200</v>
      </c>
      <c r="AX20" s="33"/>
      <c r="AY20" s="33"/>
      <c r="AZ20" s="29"/>
      <c r="BA20" s="29"/>
      <c r="BB20" s="29"/>
      <c r="BC20" s="29"/>
      <c r="BD20" s="29"/>
      <c r="BE20" s="29"/>
      <c r="BF20" s="29"/>
      <c r="BG20" s="29">
        <v>70700</v>
      </c>
      <c r="BH20" s="33">
        <f t="shared" si="2"/>
        <v>70700</v>
      </c>
      <c r="BI20" s="29"/>
    </row>
    <row r="21" spans="1:61" ht="70.5" customHeight="1" x14ac:dyDescent="0.8">
      <c r="A21" s="12" t="s">
        <v>20</v>
      </c>
      <c r="B21" s="13" t="s">
        <v>83</v>
      </c>
      <c r="C21" s="30"/>
      <c r="D21" s="30"/>
      <c r="E21" s="30">
        <v>58361900</v>
      </c>
      <c r="F21" s="30">
        <v>83225100</v>
      </c>
      <c r="G21" s="30">
        <v>270100</v>
      </c>
      <c r="H21" s="29">
        <v>1299180</v>
      </c>
      <c r="I21" s="29"/>
      <c r="J21" s="33">
        <f t="shared" si="3"/>
        <v>0</v>
      </c>
      <c r="K21" s="29"/>
      <c r="L21" s="29"/>
      <c r="M21" s="29"/>
      <c r="N21" s="29">
        <v>799635</v>
      </c>
      <c r="O21" s="29">
        <v>120580</v>
      </c>
      <c r="P21" s="29">
        <v>1386440</v>
      </c>
      <c r="Q21" s="29"/>
      <c r="R21" s="29"/>
      <c r="S21" s="33"/>
      <c r="T21" s="33">
        <f t="shared" si="0"/>
        <v>120295</v>
      </c>
      <c r="U21" s="29"/>
      <c r="V21" s="29"/>
      <c r="W21" s="29">
        <f>120295</f>
        <v>120295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>
        <v>1050000</v>
      </c>
      <c r="AL21" s="29"/>
      <c r="AM21" s="29"/>
      <c r="AN21" s="29">
        <v>1000000</v>
      </c>
      <c r="AO21" s="29">
        <v>450000</v>
      </c>
      <c r="AP21" s="29">
        <v>550000</v>
      </c>
      <c r="AQ21" s="29"/>
      <c r="AR21" s="29"/>
      <c r="AS21" s="29"/>
      <c r="AT21" s="29"/>
      <c r="AU21" s="33"/>
      <c r="AV21" s="33"/>
      <c r="AW21" s="33">
        <f t="shared" si="1"/>
        <v>148633230</v>
      </c>
      <c r="AX21" s="33"/>
      <c r="AY21" s="33"/>
      <c r="AZ21" s="29"/>
      <c r="BA21" s="29"/>
      <c r="BB21" s="29"/>
      <c r="BC21" s="29"/>
      <c r="BD21" s="29">
        <v>41400</v>
      </c>
      <c r="BE21" s="29"/>
      <c r="BF21" s="29"/>
      <c r="BG21" s="29"/>
      <c r="BH21" s="33">
        <f t="shared" si="2"/>
        <v>41400</v>
      </c>
      <c r="BI21" s="29"/>
    </row>
    <row r="22" spans="1:61" ht="70.5" customHeight="1" x14ac:dyDescent="0.8">
      <c r="A22" s="12" t="s">
        <v>21</v>
      </c>
      <c r="B22" s="13" t="s">
        <v>57</v>
      </c>
      <c r="C22" s="30"/>
      <c r="D22" s="30"/>
      <c r="E22" s="30">
        <v>140202400</v>
      </c>
      <c r="F22" s="30">
        <v>211636100</v>
      </c>
      <c r="G22" s="30">
        <v>650100</v>
      </c>
      <c r="H22" s="29">
        <v>2595485</v>
      </c>
      <c r="I22" s="29"/>
      <c r="J22" s="33">
        <f t="shared" si="3"/>
        <v>0</v>
      </c>
      <c r="K22" s="29"/>
      <c r="L22" s="29"/>
      <c r="M22" s="29"/>
      <c r="N22" s="29">
        <v>2584187</v>
      </c>
      <c r="O22" s="29">
        <v>389681</v>
      </c>
      <c r="P22" s="29">
        <v>2578271</v>
      </c>
      <c r="Q22" s="29"/>
      <c r="R22" s="29"/>
      <c r="S22" s="33"/>
      <c r="T22" s="33">
        <f t="shared" si="0"/>
        <v>1002148</v>
      </c>
      <c r="U22" s="29"/>
      <c r="V22" s="29"/>
      <c r="W22" s="29">
        <f>378070</f>
        <v>378070</v>
      </c>
      <c r="X22" s="29">
        <f>400000</f>
        <v>400000</v>
      </c>
      <c r="Y22" s="29">
        <f>122285</f>
        <v>122285</v>
      </c>
      <c r="Z22" s="29">
        <f>101793</f>
        <v>101793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>
        <v>2700000</v>
      </c>
      <c r="AL22" s="29"/>
      <c r="AM22" s="29"/>
      <c r="AN22" s="29">
        <v>1000000</v>
      </c>
      <c r="AO22" s="29"/>
      <c r="AP22" s="29">
        <f>550000</f>
        <v>550000</v>
      </c>
      <c r="AQ22" s="29"/>
      <c r="AR22" s="29"/>
      <c r="AS22" s="29"/>
      <c r="AT22" s="29"/>
      <c r="AU22" s="33"/>
      <c r="AV22" s="33"/>
      <c r="AW22" s="33">
        <f t="shared" si="1"/>
        <v>365888372</v>
      </c>
      <c r="AX22" s="33"/>
      <c r="AY22" s="33"/>
      <c r="AZ22" s="29"/>
      <c r="BA22" s="29"/>
      <c r="BB22" s="29"/>
      <c r="BC22" s="29"/>
      <c r="BD22" s="29">
        <v>106700</v>
      </c>
      <c r="BE22" s="29"/>
      <c r="BF22" s="29"/>
      <c r="BG22" s="29"/>
      <c r="BH22" s="33">
        <f t="shared" si="2"/>
        <v>106700</v>
      </c>
      <c r="BI22" s="29"/>
    </row>
    <row r="23" spans="1:61" ht="70.5" customHeight="1" x14ac:dyDescent="0.8">
      <c r="A23" s="12" t="s">
        <v>22</v>
      </c>
      <c r="B23" s="13" t="s">
        <v>58</v>
      </c>
      <c r="C23" s="30"/>
      <c r="D23" s="30"/>
      <c r="E23" s="30">
        <v>30155000</v>
      </c>
      <c r="F23" s="30">
        <v>16588400</v>
      </c>
      <c r="G23" s="30">
        <v>0</v>
      </c>
      <c r="H23" s="29">
        <v>2133924</v>
      </c>
      <c r="I23" s="29"/>
      <c r="J23" s="33">
        <f t="shared" si="3"/>
        <v>0</v>
      </c>
      <c r="K23" s="29"/>
      <c r="L23" s="29"/>
      <c r="M23" s="29"/>
      <c r="N23" s="29">
        <v>559095</v>
      </c>
      <c r="O23" s="29">
        <v>84308</v>
      </c>
      <c r="P23" s="29">
        <v>721981</v>
      </c>
      <c r="Q23" s="29"/>
      <c r="R23" s="29"/>
      <c r="S23" s="33"/>
      <c r="T23" s="33">
        <f t="shared" si="0"/>
        <v>233988</v>
      </c>
      <c r="U23" s="29"/>
      <c r="V23" s="29"/>
      <c r="W23" s="29">
        <f>111703</f>
        <v>111703</v>
      </c>
      <c r="X23" s="29"/>
      <c r="Y23" s="29">
        <f>122285</f>
        <v>122285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>
        <v>750000</v>
      </c>
      <c r="AL23" s="29"/>
      <c r="AM23" s="29"/>
      <c r="AN23" s="29">
        <v>1000000</v>
      </c>
      <c r="AO23" s="29">
        <v>900000</v>
      </c>
      <c r="AP23" s="29">
        <v>1100000</v>
      </c>
      <c r="AQ23" s="29"/>
      <c r="AR23" s="29"/>
      <c r="AS23" s="29"/>
      <c r="AT23" s="29"/>
      <c r="AU23" s="33"/>
      <c r="AV23" s="33"/>
      <c r="AW23" s="33">
        <f t="shared" si="1"/>
        <v>54226696</v>
      </c>
      <c r="AX23" s="33"/>
      <c r="AY23" s="33"/>
      <c r="AZ23" s="29"/>
      <c r="BA23" s="29"/>
      <c r="BB23" s="29"/>
      <c r="BC23" s="29"/>
      <c r="BD23" s="29">
        <v>28500</v>
      </c>
      <c r="BE23" s="29"/>
      <c r="BF23" s="29"/>
      <c r="BG23" s="29"/>
      <c r="BH23" s="33">
        <f t="shared" si="2"/>
        <v>28500</v>
      </c>
      <c r="BI23" s="29"/>
    </row>
    <row r="24" spans="1:61" ht="70.5" customHeight="1" x14ac:dyDescent="0.8">
      <c r="A24" s="12" t="s">
        <v>23</v>
      </c>
      <c r="B24" s="13" t="s">
        <v>59</v>
      </c>
      <c r="C24" s="30"/>
      <c r="D24" s="30"/>
      <c r="E24" s="30">
        <v>45853600</v>
      </c>
      <c r="F24" s="30">
        <v>84260400</v>
      </c>
      <c r="G24" s="30">
        <v>435800</v>
      </c>
      <c r="H24" s="29">
        <v>1867605</v>
      </c>
      <c r="I24" s="29"/>
      <c r="J24" s="33">
        <f t="shared" si="3"/>
        <v>0</v>
      </c>
      <c r="K24" s="29"/>
      <c r="L24" s="29"/>
      <c r="M24" s="29"/>
      <c r="N24" s="29"/>
      <c r="O24" s="29"/>
      <c r="P24" s="29">
        <v>702357</v>
      </c>
      <c r="Q24" s="29"/>
      <c r="R24" s="29"/>
      <c r="S24" s="33"/>
      <c r="T24" s="33">
        <f t="shared" si="0"/>
        <v>111703</v>
      </c>
      <c r="U24" s="29"/>
      <c r="V24" s="29"/>
      <c r="W24" s="29">
        <f>111703</f>
        <v>111703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>
        <v>650000</v>
      </c>
      <c r="AL24" s="29"/>
      <c r="AM24" s="29"/>
      <c r="AN24" s="29"/>
      <c r="AO24" s="29">
        <v>900000</v>
      </c>
      <c r="AP24" s="29">
        <v>1100000</v>
      </c>
      <c r="AQ24" s="29"/>
      <c r="AR24" s="29"/>
      <c r="AS24" s="29"/>
      <c r="AT24" s="29"/>
      <c r="AU24" s="33"/>
      <c r="AV24" s="33"/>
      <c r="AW24" s="33">
        <f t="shared" si="1"/>
        <v>135881465</v>
      </c>
      <c r="AX24" s="33"/>
      <c r="AY24" s="33"/>
      <c r="AZ24" s="29"/>
      <c r="BA24" s="29"/>
      <c r="BB24" s="29"/>
      <c r="BC24" s="29"/>
      <c r="BD24" s="29"/>
      <c r="BE24" s="29"/>
      <c r="BF24" s="29"/>
      <c r="BG24" s="29"/>
      <c r="BH24" s="33">
        <f t="shared" si="2"/>
        <v>0</v>
      </c>
      <c r="BI24" s="29"/>
    </row>
    <row r="25" spans="1:61" ht="70.5" customHeight="1" x14ac:dyDescent="0.8">
      <c r="A25" s="12" t="s">
        <v>24</v>
      </c>
      <c r="B25" s="13" t="s">
        <v>60</v>
      </c>
      <c r="C25" s="30"/>
      <c r="D25" s="30"/>
      <c r="E25" s="30">
        <v>30485900</v>
      </c>
      <c r="F25" s="30">
        <v>17138200</v>
      </c>
      <c r="G25" s="30">
        <v>239900</v>
      </c>
      <c r="H25" s="29">
        <v>1953973</v>
      </c>
      <c r="I25" s="29"/>
      <c r="J25" s="33">
        <f t="shared" si="3"/>
        <v>0</v>
      </c>
      <c r="K25" s="29"/>
      <c r="L25" s="29"/>
      <c r="M25" s="29"/>
      <c r="N25" s="29">
        <v>536341</v>
      </c>
      <c r="O25" s="29">
        <v>80877</v>
      </c>
      <c r="P25" s="29">
        <v>1040350</v>
      </c>
      <c r="Q25" s="29"/>
      <c r="R25" s="29"/>
      <c r="S25" s="33"/>
      <c r="T25" s="33">
        <f t="shared" si="0"/>
        <v>225395</v>
      </c>
      <c r="U25" s="29"/>
      <c r="V25" s="29"/>
      <c r="W25" s="29">
        <f>103110</f>
        <v>103110</v>
      </c>
      <c r="X25" s="29"/>
      <c r="Y25" s="29">
        <f>122285</f>
        <v>122285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>
        <v>550000</v>
      </c>
      <c r="AL25" s="29"/>
      <c r="AM25" s="29"/>
      <c r="AN25" s="29"/>
      <c r="AO25" s="29">
        <v>900000</v>
      </c>
      <c r="AP25" s="29">
        <v>1100000</v>
      </c>
      <c r="AQ25" s="29"/>
      <c r="AR25" s="29"/>
      <c r="AS25" s="29"/>
      <c r="AT25" s="29"/>
      <c r="AU25" s="33"/>
      <c r="AV25" s="33"/>
      <c r="AW25" s="33">
        <f t="shared" si="1"/>
        <v>54250936</v>
      </c>
      <c r="AX25" s="33"/>
      <c r="AY25" s="33"/>
      <c r="AZ25" s="29"/>
      <c r="BA25" s="29"/>
      <c r="BB25" s="29"/>
      <c r="BC25" s="29"/>
      <c r="BD25" s="29">
        <v>28500</v>
      </c>
      <c r="BE25" s="29"/>
      <c r="BF25" s="29"/>
      <c r="BG25" s="29"/>
      <c r="BH25" s="33">
        <f t="shared" si="2"/>
        <v>28500</v>
      </c>
      <c r="BI25" s="29"/>
    </row>
    <row r="26" spans="1:61" ht="70.5" customHeight="1" x14ac:dyDescent="0.8">
      <c r="A26" s="12"/>
      <c r="B26" s="13" t="s">
        <v>50</v>
      </c>
      <c r="C26" s="30">
        <f t="shared" ref="C26:I26" si="4">C13+C14+C15+C16+C17+C18+C19+C20+C21+C22+C23+C24+C25</f>
        <v>0</v>
      </c>
      <c r="D26" s="30">
        <v>0</v>
      </c>
      <c r="E26" s="30">
        <f t="shared" si="4"/>
        <v>2906625600</v>
      </c>
      <c r="F26" s="30">
        <f t="shared" si="4"/>
        <v>3806851300</v>
      </c>
      <c r="G26" s="30">
        <f t="shared" si="4"/>
        <v>6875200</v>
      </c>
      <c r="H26" s="30">
        <f t="shared" si="4"/>
        <v>56879467</v>
      </c>
      <c r="I26" s="30">
        <f t="shared" si="4"/>
        <v>1114357</v>
      </c>
      <c r="J26" s="30">
        <f t="shared" ref="J26:R26" si="5">J13+J14+J15+J16+J17+J18+J19+J20+J21+J22+J23+J24+J25</f>
        <v>0</v>
      </c>
      <c r="K26" s="30">
        <f t="shared" si="5"/>
        <v>0</v>
      </c>
      <c r="L26" s="30">
        <f t="shared" si="5"/>
        <v>0</v>
      </c>
      <c r="M26" s="30">
        <f t="shared" si="5"/>
        <v>0</v>
      </c>
      <c r="N26" s="30">
        <f t="shared" si="5"/>
        <v>49870011</v>
      </c>
      <c r="O26" s="30">
        <f t="shared" si="5"/>
        <v>7520097.3900000006</v>
      </c>
      <c r="P26" s="30">
        <f t="shared" si="5"/>
        <v>64691408</v>
      </c>
      <c r="Q26" s="30">
        <f t="shared" si="5"/>
        <v>0</v>
      </c>
      <c r="R26" s="30">
        <f t="shared" si="5"/>
        <v>0</v>
      </c>
      <c r="S26" s="34"/>
      <c r="T26" s="33">
        <f t="shared" si="0"/>
        <v>23503905</v>
      </c>
      <c r="U26" s="30">
        <f t="shared" ref="U26:AI26" si="6">U13+U14+U15+U16+U17+U18+U19+U20+U21+U22+U23+U24+U25</f>
        <v>10000000</v>
      </c>
      <c r="V26" s="30">
        <f t="shared" si="6"/>
        <v>0</v>
      </c>
      <c r="W26" s="30">
        <f t="shared" si="6"/>
        <v>6673190</v>
      </c>
      <c r="X26" s="30">
        <f t="shared" si="6"/>
        <v>1200000</v>
      </c>
      <c r="Y26" s="30">
        <f t="shared" si="6"/>
        <v>4157715</v>
      </c>
      <c r="Z26" s="30">
        <f t="shared" si="6"/>
        <v>1473000</v>
      </c>
      <c r="AA26" s="30">
        <f t="shared" si="6"/>
        <v>0</v>
      </c>
      <c r="AB26" s="30">
        <f t="shared" si="6"/>
        <v>0</v>
      </c>
      <c r="AC26" s="30">
        <f t="shared" si="6"/>
        <v>0</v>
      </c>
      <c r="AD26" s="30"/>
      <c r="AE26" s="30">
        <f t="shared" si="6"/>
        <v>0</v>
      </c>
      <c r="AF26" s="30"/>
      <c r="AG26" s="30">
        <f>AG13+AG14+AG15+AG16+AG17+AG18+AG19+AG20+AG21+AG22+AG23+AG24+AG25</f>
        <v>0</v>
      </c>
      <c r="AH26" s="30">
        <f>AH13+AH14+AH15+AH16+AH17+AH18+AH19+AH20+AH21+AH22+AH23+AH24+AH25</f>
        <v>0</v>
      </c>
      <c r="AI26" s="30">
        <f t="shared" si="6"/>
        <v>0</v>
      </c>
      <c r="AJ26" s="30">
        <f>AJ13+AJ14+AJ15+AJ16+AJ17+AJ18+AJ19+AJ20+AJ21+AJ22+AJ23+AJ24+AJ25</f>
        <v>0</v>
      </c>
      <c r="AK26" s="30">
        <f>AK13+AK14+AK15+AK16+AK17+AK18+AK19+AK20+AK21+AK22+AK23+AK24+AK25</f>
        <v>41290000</v>
      </c>
      <c r="AL26" s="30">
        <f t="shared" ref="AL26:AS26" si="7">AL13+AL14+AL15+AL16+AL17+AL18+AL19+AL20+AL21+AL22+AL23+AL24+AL25</f>
        <v>0</v>
      </c>
      <c r="AM26" s="30">
        <f t="shared" si="7"/>
        <v>0</v>
      </c>
      <c r="AN26" s="30">
        <f t="shared" si="7"/>
        <v>6000000</v>
      </c>
      <c r="AO26" s="30">
        <f t="shared" si="7"/>
        <v>9000000</v>
      </c>
      <c r="AP26" s="30">
        <f t="shared" si="7"/>
        <v>14300000</v>
      </c>
      <c r="AQ26" s="30">
        <f t="shared" si="7"/>
        <v>104000</v>
      </c>
      <c r="AR26" s="30">
        <f t="shared" si="7"/>
        <v>0</v>
      </c>
      <c r="AS26" s="30">
        <f t="shared" si="7"/>
        <v>0</v>
      </c>
      <c r="AT26" s="30">
        <f>AT13+AT14+AT15+AT16+AT17+AT18+AT19+AT20+AT21+AT22+AT23+AT24+AT25</f>
        <v>0</v>
      </c>
      <c r="AU26" s="30">
        <f>AU13+AU14+AU15+AU16+AU17+AU18+AU19+AU20+AU21+AU22+AU23+AU24+AU25</f>
        <v>18000000</v>
      </c>
      <c r="AV26" s="30">
        <f>AV13+AV14+AV15+AV16+AV17+AV18+AV19+AV20+AV21+AV22+AV23+AV24+AV25</f>
        <v>25000000</v>
      </c>
      <c r="AW26" s="33">
        <f t="shared" si="1"/>
        <v>7037625345.3900003</v>
      </c>
      <c r="AX26" s="30">
        <f t="shared" ref="AX26:BG26" si="8">AX13+AX14+AX15+AX16+AX17+AX18+AX19+AX20+AX21+AX22+AX23+AX24+AX25</f>
        <v>0</v>
      </c>
      <c r="AY26" s="30"/>
      <c r="AZ26" s="30">
        <f t="shared" si="8"/>
        <v>0</v>
      </c>
      <c r="BA26" s="30">
        <f t="shared" si="8"/>
        <v>6000000</v>
      </c>
      <c r="BB26" s="30">
        <f t="shared" si="8"/>
        <v>20000000</v>
      </c>
      <c r="BC26" s="30">
        <f t="shared" si="8"/>
        <v>73086</v>
      </c>
      <c r="BD26" s="30">
        <f t="shared" si="8"/>
        <v>274200</v>
      </c>
      <c r="BE26" s="30">
        <f t="shared" si="8"/>
        <v>2150000</v>
      </c>
      <c r="BF26" s="30">
        <f t="shared" si="8"/>
        <v>98000</v>
      </c>
      <c r="BG26" s="30">
        <f t="shared" si="8"/>
        <v>1098700</v>
      </c>
      <c r="BH26" s="33">
        <f t="shared" si="2"/>
        <v>29693986</v>
      </c>
      <c r="BI26" s="30">
        <f>BI13+BI14+BI15+BI16+BI17+BI18+BI19+BI20+BI21+BI22+BI23+BI24+BI25</f>
        <v>0</v>
      </c>
    </row>
    <row r="27" spans="1:61" ht="70.5" customHeight="1" x14ac:dyDescent="0.8">
      <c r="A27" s="12" t="s">
        <v>25</v>
      </c>
      <c r="B27" s="13" t="s">
        <v>49</v>
      </c>
      <c r="C27" s="30"/>
      <c r="D27" s="30"/>
      <c r="E27" s="30">
        <v>90782300</v>
      </c>
      <c r="F27" s="30">
        <v>127467300</v>
      </c>
      <c r="G27" s="30">
        <v>2326300</v>
      </c>
      <c r="H27" s="29">
        <v>7901641</v>
      </c>
      <c r="I27" s="29"/>
      <c r="J27" s="33">
        <f>K27+L27+M27</f>
        <v>0</v>
      </c>
      <c r="K27" s="29"/>
      <c r="L27" s="29"/>
      <c r="M27" s="29"/>
      <c r="N27" s="29"/>
      <c r="O27" s="29"/>
      <c r="P27" s="29"/>
      <c r="Q27" s="29"/>
      <c r="R27" s="29"/>
      <c r="S27" s="33"/>
      <c r="T27" s="33">
        <f t="shared" si="0"/>
        <v>0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>
        <v>300000</v>
      </c>
      <c r="AK27" s="29">
        <f>300000-100000</f>
        <v>200000</v>
      </c>
      <c r="AL27" s="29"/>
      <c r="AM27" s="29"/>
      <c r="AN27" s="29"/>
      <c r="AO27" s="29"/>
      <c r="AP27" s="29"/>
      <c r="AQ27" s="29"/>
      <c r="AR27" s="29">
        <v>91000</v>
      </c>
      <c r="AS27" s="29"/>
      <c r="AT27" s="29"/>
      <c r="AU27" s="33"/>
      <c r="AV27" s="33"/>
      <c r="AW27" s="33">
        <f t="shared" si="1"/>
        <v>229068541</v>
      </c>
      <c r="AX27" s="33"/>
      <c r="AY27" s="33"/>
      <c r="AZ27" s="29"/>
      <c r="BA27" s="29"/>
      <c r="BB27" s="29"/>
      <c r="BC27" s="29"/>
      <c r="BD27" s="29"/>
      <c r="BE27" s="29"/>
      <c r="BF27" s="29"/>
      <c r="BG27" s="29"/>
      <c r="BH27" s="33">
        <f t="shared" si="2"/>
        <v>0</v>
      </c>
      <c r="BI27" s="29"/>
    </row>
    <row r="28" spans="1:61" ht="70.5" customHeight="1" x14ac:dyDescent="0.8">
      <c r="A28" s="12" t="s">
        <v>26</v>
      </c>
      <c r="B28" s="13" t="s">
        <v>61</v>
      </c>
      <c r="C28" s="30"/>
      <c r="D28" s="30">
        <v>3470300</v>
      </c>
      <c r="E28" s="30">
        <v>66280700</v>
      </c>
      <c r="F28" s="30">
        <v>71209300</v>
      </c>
      <c r="G28" s="30">
        <v>2186600</v>
      </c>
      <c r="H28" s="29">
        <v>2654601</v>
      </c>
      <c r="I28" s="29"/>
      <c r="J28" s="33">
        <f t="shared" ref="J28:J48" si="9">K28+L28+M28</f>
        <v>0</v>
      </c>
      <c r="K28" s="29"/>
      <c r="L28" s="29"/>
      <c r="M28" s="29"/>
      <c r="N28" s="29"/>
      <c r="O28" s="29"/>
      <c r="P28" s="29">
        <v>832696</v>
      </c>
      <c r="Q28" s="29"/>
      <c r="R28" s="29"/>
      <c r="S28" s="33"/>
      <c r="T28" s="33">
        <f t="shared" si="0"/>
        <v>1495884</v>
      </c>
      <c r="U28" s="29"/>
      <c r="V28" s="29">
        <v>1339500</v>
      </c>
      <c r="W28" s="29">
        <f>156384</f>
        <v>156384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>
        <f>250000-10000</f>
        <v>240000</v>
      </c>
      <c r="AL28" s="29"/>
      <c r="AM28" s="29"/>
      <c r="AN28" s="29"/>
      <c r="AO28" s="29"/>
      <c r="AP28" s="29"/>
      <c r="AQ28" s="29"/>
      <c r="AR28" s="29">
        <f>91000+14000</f>
        <v>105000</v>
      </c>
      <c r="AS28" s="29"/>
      <c r="AT28" s="29">
        <v>350000</v>
      </c>
      <c r="AU28" s="33"/>
      <c r="AV28" s="33"/>
      <c r="AW28" s="33">
        <f t="shared" si="1"/>
        <v>148825081</v>
      </c>
      <c r="AX28" s="33"/>
      <c r="AY28" s="33"/>
      <c r="AZ28" s="29"/>
      <c r="BA28" s="29"/>
      <c r="BB28" s="29"/>
      <c r="BC28" s="29"/>
      <c r="BD28" s="29"/>
      <c r="BE28" s="29"/>
      <c r="BF28" s="29"/>
      <c r="BG28" s="29"/>
      <c r="BH28" s="33">
        <f t="shared" si="2"/>
        <v>0</v>
      </c>
      <c r="BI28" s="29"/>
    </row>
    <row r="29" spans="1:61" ht="70.5" customHeight="1" x14ac:dyDescent="0.8">
      <c r="A29" s="12" t="s">
        <v>27</v>
      </c>
      <c r="B29" s="13" t="s">
        <v>62</v>
      </c>
      <c r="C29" s="30"/>
      <c r="D29" s="30">
        <v>6020900</v>
      </c>
      <c r="E29" s="30">
        <v>104107700</v>
      </c>
      <c r="F29" s="30">
        <v>114194000</v>
      </c>
      <c r="G29" s="30">
        <v>2743600</v>
      </c>
      <c r="H29" s="29">
        <v>10482118</v>
      </c>
      <c r="I29" s="29"/>
      <c r="J29" s="33">
        <f t="shared" si="9"/>
        <v>0</v>
      </c>
      <c r="K29" s="29"/>
      <c r="L29" s="29"/>
      <c r="M29" s="29"/>
      <c r="N29" s="29">
        <v>841892</v>
      </c>
      <c r="O29" s="29">
        <v>126953</v>
      </c>
      <c r="P29" s="29">
        <v>1173950</v>
      </c>
      <c r="Q29" s="29"/>
      <c r="R29" s="29"/>
      <c r="S29" s="33"/>
      <c r="T29" s="33">
        <f t="shared" si="0"/>
        <v>1786582</v>
      </c>
      <c r="U29" s="29"/>
      <c r="V29" s="29">
        <v>1339500</v>
      </c>
      <c r="W29" s="29">
        <f>324797</f>
        <v>324797</v>
      </c>
      <c r="X29" s="29"/>
      <c r="Y29" s="29">
        <f>122285</f>
        <v>122285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>
        <f>630000-20000</f>
        <v>610000</v>
      </c>
      <c r="AL29" s="29"/>
      <c r="AM29" s="29"/>
      <c r="AN29" s="29"/>
      <c r="AO29" s="29"/>
      <c r="AP29" s="29"/>
      <c r="AQ29" s="29"/>
      <c r="AR29" s="29">
        <v>91000</v>
      </c>
      <c r="AS29" s="29"/>
      <c r="AT29" s="29"/>
      <c r="AU29" s="33"/>
      <c r="AV29" s="33"/>
      <c r="AW29" s="33">
        <f t="shared" si="1"/>
        <v>242178695</v>
      </c>
      <c r="AX29" s="33"/>
      <c r="AY29" s="33"/>
      <c r="AZ29" s="29"/>
      <c r="BA29" s="29"/>
      <c r="BB29" s="29"/>
      <c r="BC29" s="29"/>
      <c r="BD29" s="29">
        <v>37000</v>
      </c>
      <c r="BE29" s="29"/>
      <c r="BF29" s="29"/>
      <c r="BG29" s="29"/>
      <c r="BH29" s="33">
        <f t="shared" si="2"/>
        <v>37000</v>
      </c>
      <c r="BI29" s="29"/>
    </row>
    <row r="30" spans="1:61" ht="70.5" customHeight="1" x14ac:dyDescent="0.8">
      <c r="A30" s="12" t="s">
        <v>28</v>
      </c>
      <c r="B30" s="13" t="s">
        <v>84</v>
      </c>
      <c r="C30" s="30"/>
      <c r="D30" s="30">
        <v>4178300</v>
      </c>
      <c r="E30" s="30">
        <v>109238700</v>
      </c>
      <c r="F30" s="30">
        <v>106698800</v>
      </c>
      <c r="G30" s="30">
        <v>1623000</v>
      </c>
      <c r="H30" s="29">
        <v>1724332</v>
      </c>
      <c r="I30" s="29"/>
      <c r="J30" s="33">
        <f t="shared" si="9"/>
        <v>205100</v>
      </c>
      <c r="K30" s="29"/>
      <c r="L30" s="29">
        <v>203100</v>
      </c>
      <c r="M30" s="29">
        <v>2000</v>
      </c>
      <c r="N30" s="29">
        <v>1413989</v>
      </c>
      <c r="O30" s="29">
        <v>213221</v>
      </c>
      <c r="P30" s="29">
        <v>1591001</v>
      </c>
      <c r="Q30" s="29"/>
      <c r="R30" s="29"/>
      <c r="S30" s="33"/>
      <c r="T30" s="33">
        <f t="shared" si="0"/>
        <v>324797</v>
      </c>
      <c r="U30" s="29"/>
      <c r="V30" s="29"/>
      <c r="W30" s="29">
        <f>324797</f>
        <v>324797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>
        <f>1550000-15000</f>
        <v>1535000</v>
      </c>
      <c r="AL30" s="29"/>
      <c r="AM30" s="29"/>
      <c r="AN30" s="29"/>
      <c r="AO30" s="29"/>
      <c r="AP30" s="29"/>
      <c r="AQ30" s="29"/>
      <c r="AR30" s="29">
        <v>91000</v>
      </c>
      <c r="AS30" s="29"/>
      <c r="AT30" s="29"/>
      <c r="AU30" s="33"/>
      <c r="AV30" s="33"/>
      <c r="AW30" s="33">
        <f t="shared" si="1"/>
        <v>228837240</v>
      </c>
      <c r="AX30" s="33"/>
      <c r="AY30" s="33"/>
      <c r="AZ30" s="29"/>
      <c r="BA30" s="29"/>
      <c r="BB30" s="29">
        <v>2500000</v>
      </c>
      <c r="BC30" s="29"/>
      <c r="BD30" s="29"/>
      <c r="BE30" s="29"/>
      <c r="BF30" s="29"/>
      <c r="BG30" s="29"/>
      <c r="BH30" s="33">
        <f t="shared" si="2"/>
        <v>2500000</v>
      </c>
      <c r="BI30" s="29"/>
    </row>
    <row r="31" spans="1:61" ht="70.5" customHeight="1" x14ac:dyDescent="0.8">
      <c r="A31" s="12" t="s">
        <v>29</v>
      </c>
      <c r="B31" s="13" t="s">
        <v>63</v>
      </c>
      <c r="C31" s="30"/>
      <c r="D31" s="30">
        <v>7271800</v>
      </c>
      <c r="E31" s="30">
        <v>61439700</v>
      </c>
      <c r="F31" s="30">
        <v>68617300</v>
      </c>
      <c r="G31" s="30">
        <v>1959600</v>
      </c>
      <c r="H31" s="29">
        <v>1663458</v>
      </c>
      <c r="I31" s="29"/>
      <c r="J31" s="33">
        <f t="shared" si="9"/>
        <v>0</v>
      </c>
      <c r="K31" s="29"/>
      <c r="L31" s="29"/>
      <c r="M31" s="29"/>
      <c r="N31" s="29">
        <v>718372</v>
      </c>
      <c r="O31" s="29">
        <v>108326</v>
      </c>
      <c r="P31" s="29">
        <v>880041</v>
      </c>
      <c r="Q31" s="29"/>
      <c r="R31" s="29"/>
      <c r="S31" s="33"/>
      <c r="T31" s="33">
        <f t="shared" si="0"/>
        <v>2991767</v>
      </c>
      <c r="U31" s="29"/>
      <c r="V31" s="29">
        <f>2679000</f>
        <v>2679000</v>
      </c>
      <c r="W31" s="29">
        <f>312767</f>
        <v>312767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>
        <f>550000+500000</f>
        <v>1050000</v>
      </c>
      <c r="AL31" s="31"/>
      <c r="AM31" s="31"/>
      <c r="AN31" s="31"/>
      <c r="AO31" s="31"/>
      <c r="AP31" s="31"/>
      <c r="AQ31" s="31"/>
      <c r="AR31" s="31">
        <v>91000</v>
      </c>
      <c r="AS31" s="31"/>
      <c r="AT31" s="31">
        <v>985000</v>
      </c>
      <c r="AU31" s="45"/>
      <c r="AV31" s="45"/>
      <c r="AW31" s="33">
        <f t="shared" si="1"/>
        <v>147776364</v>
      </c>
      <c r="AX31" s="33"/>
      <c r="AY31" s="33"/>
      <c r="AZ31" s="31"/>
      <c r="BA31" s="31"/>
      <c r="BB31" s="31"/>
      <c r="BC31" s="31"/>
      <c r="BD31" s="31">
        <v>45200</v>
      </c>
      <c r="BE31" s="31"/>
      <c r="BF31" s="31"/>
      <c r="BG31" s="31"/>
      <c r="BH31" s="33">
        <f t="shared" si="2"/>
        <v>45200</v>
      </c>
      <c r="BI31" s="31"/>
    </row>
    <row r="32" spans="1:61" ht="70.5" customHeight="1" x14ac:dyDescent="0.8">
      <c r="A32" s="12" t="s">
        <v>30</v>
      </c>
      <c r="B32" s="13" t="s">
        <v>64</v>
      </c>
      <c r="C32" s="30"/>
      <c r="D32" s="30">
        <v>3296900</v>
      </c>
      <c r="E32" s="30">
        <v>66461500</v>
      </c>
      <c r="F32" s="30">
        <v>87213000</v>
      </c>
      <c r="G32" s="30">
        <v>1933700</v>
      </c>
      <c r="H32" s="29">
        <v>3468939</v>
      </c>
      <c r="I32" s="29"/>
      <c r="J32" s="33">
        <f t="shared" si="9"/>
        <v>0</v>
      </c>
      <c r="K32" s="29"/>
      <c r="L32" s="29"/>
      <c r="M32" s="29"/>
      <c r="N32" s="29">
        <v>676114</v>
      </c>
      <c r="O32" s="29">
        <v>101954</v>
      </c>
      <c r="P32" s="29">
        <f>678797-124041</f>
        <v>554756</v>
      </c>
      <c r="Q32" s="29"/>
      <c r="R32" s="29"/>
      <c r="S32" s="33"/>
      <c r="T32" s="33">
        <f t="shared" si="0"/>
        <v>180443</v>
      </c>
      <c r="U32" s="29"/>
      <c r="V32" s="29"/>
      <c r="W32" s="29">
        <f>180443</f>
        <v>180443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1">
        <v>270000</v>
      </c>
      <c r="AL32" s="31"/>
      <c r="AM32" s="31"/>
      <c r="AN32" s="31"/>
      <c r="AO32" s="31"/>
      <c r="AP32" s="31"/>
      <c r="AQ32" s="31"/>
      <c r="AR32" s="31">
        <v>91000</v>
      </c>
      <c r="AS32" s="31"/>
      <c r="AT32" s="31"/>
      <c r="AU32" s="45"/>
      <c r="AV32" s="45"/>
      <c r="AW32" s="33">
        <f t="shared" si="1"/>
        <v>164248306</v>
      </c>
      <c r="AX32" s="33"/>
      <c r="AY32" s="33"/>
      <c r="AZ32" s="31"/>
      <c r="BA32" s="31"/>
      <c r="BB32" s="31"/>
      <c r="BC32" s="31"/>
      <c r="BD32" s="31">
        <v>15362</v>
      </c>
      <c r="BE32" s="31"/>
      <c r="BF32" s="31"/>
      <c r="BG32" s="31"/>
      <c r="BH32" s="33">
        <f t="shared" si="2"/>
        <v>15362</v>
      </c>
      <c r="BI32" s="31"/>
    </row>
    <row r="33" spans="1:61" ht="70.5" customHeight="1" x14ac:dyDescent="0.8">
      <c r="A33" s="12" t="s">
        <v>31</v>
      </c>
      <c r="B33" s="13" t="s">
        <v>65</v>
      </c>
      <c r="C33" s="30"/>
      <c r="D33" s="30">
        <v>4848600</v>
      </c>
      <c r="E33" s="30">
        <v>58186300</v>
      </c>
      <c r="F33" s="30">
        <v>75819900</v>
      </c>
      <c r="G33" s="30">
        <v>1032900</v>
      </c>
      <c r="H33" s="29">
        <v>2141617</v>
      </c>
      <c r="I33" s="29"/>
      <c r="J33" s="33">
        <f t="shared" si="9"/>
        <v>207300</v>
      </c>
      <c r="K33" s="29"/>
      <c r="L33" s="29">
        <v>205700</v>
      </c>
      <c r="M33" s="29">
        <v>1600</v>
      </c>
      <c r="N33" s="29">
        <v>728123</v>
      </c>
      <c r="O33" s="29">
        <v>109797</v>
      </c>
      <c r="P33" s="29">
        <v>613009</v>
      </c>
      <c r="Q33" s="29"/>
      <c r="R33" s="29"/>
      <c r="S33" s="33"/>
      <c r="T33" s="33">
        <f t="shared" si="0"/>
        <v>1664297</v>
      </c>
      <c r="U33" s="29"/>
      <c r="V33" s="29">
        <f>1339500</f>
        <v>1339500</v>
      </c>
      <c r="W33" s="29">
        <f>324797</f>
        <v>324797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31">
        <f>500000+75000</f>
        <v>575000</v>
      </c>
      <c r="AL33" s="31"/>
      <c r="AM33" s="31"/>
      <c r="AN33" s="31"/>
      <c r="AO33" s="31"/>
      <c r="AP33" s="31"/>
      <c r="AQ33" s="31"/>
      <c r="AR33" s="31">
        <v>91000</v>
      </c>
      <c r="AS33" s="31"/>
      <c r="AT33" s="31"/>
      <c r="AU33" s="45"/>
      <c r="AV33" s="45"/>
      <c r="AW33" s="33">
        <f t="shared" si="1"/>
        <v>146017843</v>
      </c>
      <c r="AX33" s="33"/>
      <c r="AY33" s="33"/>
      <c r="AZ33" s="31"/>
      <c r="BA33" s="31">
        <v>3450000</v>
      </c>
      <c r="BB33" s="31"/>
      <c r="BC33" s="31"/>
      <c r="BD33" s="31">
        <v>33600</v>
      </c>
      <c r="BE33" s="31"/>
      <c r="BF33" s="31"/>
      <c r="BG33" s="31"/>
      <c r="BH33" s="33">
        <f t="shared" si="2"/>
        <v>3483600</v>
      </c>
      <c r="BI33" s="31"/>
    </row>
    <row r="34" spans="1:61" ht="70.5" customHeight="1" x14ac:dyDescent="0.8">
      <c r="A34" s="12" t="s">
        <v>32</v>
      </c>
      <c r="B34" s="13" t="s">
        <v>66</v>
      </c>
      <c r="C34" s="30"/>
      <c r="D34" s="30">
        <v>2997900</v>
      </c>
      <c r="E34" s="30">
        <v>41243300</v>
      </c>
      <c r="F34" s="30">
        <v>41295000</v>
      </c>
      <c r="G34" s="30">
        <v>4827800</v>
      </c>
      <c r="H34" s="29">
        <v>712489</v>
      </c>
      <c r="I34" s="29"/>
      <c r="J34" s="33">
        <f t="shared" si="9"/>
        <v>0</v>
      </c>
      <c r="K34" s="29"/>
      <c r="L34" s="29"/>
      <c r="M34" s="29"/>
      <c r="N34" s="29"/>
      <c r="O34" s="29"/>
      <c r="P34" s="29">
        <f>412384-378061</f>
        <v>34323</v>
      </c>
      <c r="Q34" s="29"/>
      <c r="R34" s="29"/>
      <c r="S34" s="33"/>
      <c r="T34" s="33">
        <f t="shared" si="0"/>
        <v>156384</v>
      </c>
      <c r="U34" s="29"/>
      <c r="V34" s="29"/>
      <c r="W34" s="29">
        <f>156384</f>
        <v>156384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1">
        <v>300000</v>
      </c>
      <c r="AL34" s="31"/>
      <c r="AM34" s="31"/>
      <c r="AN34" s="31"/>
      <c r="AO34" s="31"/>
      <c r="AP34" s="31"/>
      <c r="AQ34" s="31"/>
      <c r="AR34" s="31">
        <f>91000+2000</f>
        <v>93000</v>
      </c>
      <c r="AS34" s="31"/>
      <c r="AT34" s="31"/>
      <c r="AU34" s="45"/>
      <c r="AV34" s="45"/>
      <c r="AW34" s="33">
        <f t="shared" si="1"/>
        <v>91660196</v>
      </c>
      <c r="AX34" s="33"/>
      <c r="AY34" s="33"/>
      <c r="AZ34" s="31"/>
      <c r="BA34" s="31"/>
      <c r="BB34" s="31"/>
      <c r="BC34" s="31"/>
      <c r="BD34" s="31">
        <v>3300</v>
      </c>
      <c r="BE34" s="31"/>
      <c r="BF34" s="31"/>
      <c r="BG34" s="31"/>
      <c r="BH34" s="33">
        <f t="shared" si="2"/>
        <v>3300</v>
      </c>
      <c r="BI34" s="31"/>
    </row>
    <row r="35" spans="1:61" ht="70.5" customHeight="1" x14ac:dyDescent="0.8">
      <c r="A35" s="12" t="s">
        <v>33</v>
      </c>
      <c r="B35" s="13" t="s">
        <v>67</v>
      </c>
      <c r="C35" s="30"/>
      <c r="D35" s="30">
        <v>3920800</v>
      </c>
      <c r="E35" s="30">
        <v>62364500</v>
      </c>
      <c r="F35" s="30">
        <v>88089100</v>
      </c>
      <c r="G35" s="30">
        <v>795200</v>
      </c>
      <c r="H35" s="29">
        <v>2112776</v>
      </c>
      <c r="I35" s="29"/>
      <c r="J35" s="33">
        <f t="shared" si="9"/>
        <v>0</v>
      </c>
      <c r="K35" s="29"/>
      <c r="L35" s="29"/>
      <c r="M35" s="29"/>
      <c r="N35" s="29">
        <v>679365</v>
      </c>
      <c r="O35" s="29">
        <v>102444</v>
      </c>
      <c r="P35" s="29">
        <v>918164</v>
      </c>
      <c r="Q35" s="29"/>
      <c r="R35" s="29"/>
      <c r="S35" s="33"/>
      <c r="T35" s="33">
        <f t="shared" si="0"/>
        <v>300738</v>
      </c>
      <c r="U35" s="29"/>
      <c r="V35" s="29"/>
      <c r="W35" s="29">
        <f>300738</f>
        <v>300738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1">
        <f>560000+40000</f>
        <v>600000</v>
      </c>
      <c r="AL35" s="31"/>
      <c r="AM35" s="31"/>
      <c r="AN35" s="31"/>
      <c r="AO35" s="31"/>
      <c r="AP35" s="31"/>
      <c r="AQ35" s="31">
        <v>13000</v>
      </c>
      <c r="AR35" s="31">
        <v>91000</v>
      </c>
      <c r="AS35" s="31"/>
      <c r="AT35" s="31"/>
      <c r="AU35" s="45"/>
      <c r="AV35" s="45"/>
      <c r="AW35" s="33">
        <f t="shared" si="1"/>
        <v>159987087</v>
      </c>
      <c r="AX35" s="33"/>
      <c r="AY35" s="33"/>
      <c r="AZ35" s="31"/>
      <c r="BA35" s="31"/>
      <c r="BB35" s="31"/>
      <c r="BC35" s="31"/>
      <c r="BD35" s="31"/>
      <c r="BE35" s="31"/>
      <c r="BF35" s="31"/>
      <c r="BG35" s="31"/>
      <c r="BH35" s="33">
        <f t="shared" si="2"/>
        <v>0</v>
      </c>
      <c r="BI35" s="31"/>
    </row>
    <row r="36" spans="1:61" ht="70.5" customHeight="1" x14ac:dyDescent="0.8">
      <c r="A36" s="12" t="s">
        <v>34</v>
      </c>
      <c r="B36" s="13" t="s">
        <v>68</v>
      </c>
      <c r="C36" s="30"/>
      <c r="D36" s="30">
        <v>11567000</v>
      </c>
      <c r="E36" s="30">
        <v>96637100</v>
      </c>
      <c r="F36" s="30">
        <v>120467500</v>
      </c>
      <c r="G36" s="30">
        <v>1450100</v>
      </c>
      <c r="H36" s="29">
        <v>2866821</v>
      </c>
      <c r="I36" s="29"/>
      <c r="J36" s="33">
        <f t="shared" si="9"/>
        <v>983500</v>
      </c>
      <c r="K36" s="29"/>
      <c r="L36" s="29">
        <v>980200</v>
      </c>
      <c r="M36" s="29">
        <v>3300</v>
      </c>
      <c r="N36" s="29">
        <v>838642</v>
      </c>
      <c r="O36" s="29">
        <v>126462</v>
      </c>
      <c r="P36" s="29">
        <v>1866748</v>
      </c>
      <c r="Q36" s="29"/>
      <c r="R36" s="29"/>
      <c r="S36" s="33"/>
      <c r="T36" s="33">
        <f t="shared" si="0"/>
        <v>3232457</v>
      </c>
      <c r="U36" s="29"/>
      <c r="V36" s="29">
        <f>2679100</f>
        <v>2679100</v>
      </c>
      <c r="W36" s="29">
        <f>553357</f>
        <v>553357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1">
        <f>2000000-30000</f>
        <v>1970000</v>
      </c>
      <c r="AL36" s="31"/>
      <c r="AM36" s="31"/>
      <c r="AN36" s="31"/>
      <c r="AO36" s="31"/>
      <c r="AP36" s="31"/>
      <c r="AQ36" s="31">
        <v>13000</v>
      </c>
      <c r="AR36" s="31">
        <f>91000+2000</f>
        <v>93000</v>
      </c>
      <c r="AS36" s="31"/>
      <c r="AT36" s="31"/>
      <c r="AU36" s="45"/>
      <c r="AV36" s="45"/>
      <c r="AW36" s="33">
        <f t="shared" si="1"/>
        <v>242112330</v>
      </c>
      <c r="AX36" s="33"/>
      <c r="AY36" s="33"/>
      <c r="AZ36" s="31"/>
      <c r="BA36" s="31"/>
      <c r="BB36" s="31">
        <v>12000000</v>
      </c>
      <c r="BC36" s="31"/>
      <c r="BD36" s="31"/>
      <c r="BE36" s="31"/>
      <c r="BF36" s="31"/>
      <c r="BG36" s="31"/>
      <c r="BH36" s="33">
        <f t="shared" si="2"/>
        <v>12000000</v>
      </c>
      <c r="BI36" s="31"/>
    </row>
    <row r="37" spans="1:61" ht="70.5" customHeight="1" x14ac:dyDescent="0.8">
      <c r="A37" s="12" t="s">
        <v>35</v>
      </c>
      <c r="B37" s="13" t="s">
        <v>69</v>
      </c>
      <c r="C37" s="30"/>
      <c r="D37" s="30">
        <v>3226200</v>
      </c>
      <c r="E37" s="30">
        <v>38223500</v>
      </c>
      <c r="F37" s="30">
        <v>43747600</v>
      </c>
      <c r="G37" s="30">
        <v>2226300</v>
      </c>
      <c r="H37" s="29">
        <v>817701</v>
      </c>
      <c r="I37" s="29"/>
      <c r="J37" s="33">
        <f t="shared" si="9"/>
        <v>0</v>
      </c>
      <c r="K37" s="29"/>
      <c r="L37" s="29"/>
      <c r="M37" s="29"/>
      <c r="N37" s="29">
        <v>676114</v>
      </c>
      <c r="O37" s="29">
        <v>101954</v>
      </c>
      <c r="P37" s="29">
        <f>739075-554307</f>
        <v>184768</v>
      </c>
      <c r="Q37" s="29"/>
      <c r="R37" s="29"/>
      <c r="S37" s="33"/>
      <c r="T37" s="33">
        <f t="shared" si="0"/>
        <v>96236</v>
      </c>
      <c r="U37" s="29"/>
      <c r="V37" s="29"/>
      <c r="W37" s="29">
        <f>96236</f>
        <v>96236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1">
        <f>290000-50000</f>
        <v>240000</v>
      </c>
      <c r="AL37" s="31"/>
      <c r="AM37" s="31"/>
      <c r="AN37" s="31"/>
      <c r="AO37" s="31"/>
      <c r="AP37" s="31"/>
      <c r="AQ37" s="31"/>
      <c r="AR37" s="31">
        <f>91000+33000</f>
        <v>124000</v>
      </c>
      <c r="AS37" s="31"/>
      <c r="AT37" s="31"/>
      <c r="AU37" s="45"/>
      <c r="AV37" s="45"/>
      <c r="AW37" s="33">
        <f t="shared" si="1"/>
        <v>89664373</v>
      </c>
      <c r="AX37" s="33"/>
      <c r="AY37" s="33"/>
      <c r="AZ37" s="31"/>
      <c r="BA37" s="31"/>
      <c r="BB37" s="31"/>
      <c r="BC37" s="31"/>
      <c r="BD37" s="31">
        <v>2200</v>
      </c>
      <c r="BE37" s="31"/>
      <c r="BF37" s="31"/>
      <c r="BG37" s="31"/>
      <c r="BH37" s="33">
        <f t="shared" si="2"/>
        <v>2200</v>
      </c>
      <c r="BI37" s="31"/>
    </row>
    <row r="38" spans="1:61" ht="70.5" customHeight="1" x14ac:dyDescent="0.8">
      <c r="A38" s="12" t="s">
        <v>36</v>
      </c>
      <c r="B38" s="13" t="s">
        <v>70</v>
      </c>
      <c r="C38" s="30"/>
      <c r="D38" s="30">
        <v>3201700</v>
      </c>
      <c r="E38" s="30">
        <v>35296000</v>
      </c>
      <c r="F38" s="30">
        <v>48685800</v>
      </c>
      <c r="G38" s="30">
        <v>1486500</v>
      </c>
      <c r="H38" s="29">
        <v>2015648</v>
      </c>
      <c r="I38" s="29"/>
      <c r="J38" s="33">
        <f t="shared" si="9"/>
        <v>0</v>
      </c>
      <c r="K38" s="29"/>
      <c r="L38" s="29"/>
      <c r="M38" s="29"/>
      <c r="N38" s="29"/>
      <c r="O38" s="29"/>
      <c r="P38" s="29">
        <v>558636</v>
      </c>
      <c r="Q38" s="29"/>
      <c r="R38" s="29"/>
      <c r="S38" s="33"/>
      <c r="T38" s="33">
        <f>U3+V38+W38+X38+Y38+Z38+AA38</f>
        <v>2823454</v>
      </c>
      <c r="U38" s="29"/>
      <c r="V38" s="29">
        <f>2679100</f>
        <v>2679100</v>
      </c>
      <c r="W38" s="29">
        <f>144354</f>
        <v>144354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31">
        <f>440000-10000</f>
        <v>430000</v>
      </c>
      <c r="AL38" s="31"/>
      <c r="AM38" s="31"/>
      <c r="AN38" s="31"/>
      <c r="AO38" s="31"/>
      <c r="AP38" s="31"/>
      <c r="AQ38" s="31"/>
      <c r="AR38" s="31">
        <v>91000</v>
      </c>
      <c r="AS38" s="31"/>
      <c r="AT38" s="31"/>
      <c r="AU38" s="45"/>
      <c r="AV38" s="45"/>
      <c r="AW38" s="33">
        <f t="shared" si="1"/>
        <v>94588738</v>
      </c>
      <c r="AX38" s="33"/>
      <c r="AY38" s="33"/>
      <c r="AZ38" s="31"/>
      <c r="BA38" s="31"/>
      <c r="BB38" s="31"/>
      <c r="BC38" s="31"/>
      <c r="BD38" s="31">
        <v>15800</v>
      </c>
      <c r="BE38" s="31"/>
      <c r="BF38" s="31"/>
      <c r="BG38" s="31"/>
      <c r="BH38" s="33">
        <f t="shared" si="2"/>
        <v>15800</v>
      </c>
      <c r="BI38" s="31"/>
    </row>
    <row r="39" spans="1:61" ht="70.5" customHeight="1" x14ac:dyDescent="0.8">
      <c r="A39" s="12" t="s">
        <v>37</v>
      </c>
      <c r="B39" s="13" t="s">
        <v>71</v>
      </c>
      <c r="C39" s="30"/>
      <c r="D39" s="30">
        <v>2000300</v>
      </c>
      <c r="E39" s="30">
        <v>38104400</v>
      </c>
      <c r="F39" s="30">
        <v>34387200</v>
      </c>
      <c r="G39" s="30">
        <v>3689700</v>
      </c>
      <c r="H39" s="29">
        <v>3072494</v>
      </c>
      <c r="I39" s="29"/>
      <c r="J39" s="33">
        <f t="shared" si="9"/>
        <v>0</v>
      </c>
      <c r="K39" s="29"/>
      <c r="L39" s="29"/>
      <c r="M39" s="29"/>
      <c r="N39" s="29">
        <v>750877</v>
      </c>
      <c r="O39" s="29">
        <v>113228</v>
      </c>
      <c r="P39" s="29">
        <v>537437</v>
      </c>
      <c r="Q39" s="29"/>
      <c r="R39" s="29"/>
      <c r="S39" s="33"/>
      <c r="T39" s="33">
        <f t="shared" ref="T39:T49" si="10">U39+V39+W39+X39+Y39+Z39+AA39</f>
        <v>2883602</v>
      </c>
      <c r="U39" s="29"/>
      <c r="V39" s="29">
        <f>2679100</f>
        <v>2679100</v>
      </c>
      <c r="W39" s="29">
        <f>204502</f>
        <v>204502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1">
        <v>100000</v>
      </c>
      <c r="AL39" s="31"/>
      <c r="AM39" s="31"/>
      <c r="AN39" s="31"/>
      <c r="AO39" s="31"/>
      <c r="AP39" s="31">
        <v>550000</v>
      </c>
      <c r="AQ39" s="31"/>
      <c r="AR39" s="31">
        <v>91000</v>
      </c>
      <c r="AS39" s="31"/>
      <c r="AT39" s="31"/>
      <c r="AU39" s="45"/>
      <c r="AV39" s="45"/>
      <c r="AW39" s="33">
        <f t="shared" si="1"/>
        <v>86280238</v>
      </c>
      <c r="AX39" s="33"/>
      <c r="AY39" s="33"/>
      <c r="AZ39" s="31"/>
      <c r="BA39" s="31"/>
      <c r="BB39" s="31"/>
      <c r="BC39" s="31"/>
      <c r="BD39" s="31">
        <v>15900</v>
      </c>
      <c r="BE39" s="31"/>
      <c r="BF39" s="31"/>
      <c r="BG39" s="31"/>
      <c r="BH39" s="33">
        <f t="shared" si="2"/>
        <v>15900</v>
      </c>
      <c r="BI39" s="31"/>
    </row>
    <row r="40" spans="1:61" ht="70.5" customHeight="1" x14ac:dyDescent="0.8">
      <c r="A40" s="12" t="s">
        <v>38</v>
      </c>
      <c r="B40" s="13" t="s">
        <v>72</v>
      </c>
      <c r="C40" s="30"/>
      <c r="D40" s="30">
        <v>1142700</v>
      </c>
      <c r="E40" s="30">
        <v>49962800</v>
      </c>
      <c r="F40" s="30">
        <v>92016700</v>
      </c>
      <c r="G40" s="30">
        <v>962600</v>
      </c>
      <c r="H40" s="29">
        <v>2684163</v>
      </c>
      <c r="I40" s="29"/>
      <c r="J40" s="33">
        <f t="shared" si="9"/>
        <v>0</v>
      </c>
      <c r="K40" s="29"/>
      <c r="L40" s="29"/>
      <c r="M40" s="29"/>
      <c r="N40" s="29">
        <v>607853</v>
      </c>
      <c r="O40" s="29">
        <v>91661</v>
      </c>
      <c r="P40" s="29">
        <v>811779</v>
      </c>
      <c r="Q40" s="29"/>
      <c r="R40" s="29"/>
      <c r="S40" s="33"/>
      <c r="T40" s="33">
        <f t="shared" si="10"/>
        <v>60148</v>
      </c>
      <c r="U40" s="29"/>
      <c r="V40" s="29"/>
      <c r="W40" s="29">
        <f>60148</f>
        <v>60148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1">
        <v>200000</v>
      </c>
      <c r="AL40" s="31"/>
      <c r="AM40" s="31"/>
      <c r="AN40" s="31"/>
      <c r="AO40" s="31"/>
      <c r="AP40" s="31"/>
      <c r="AQ40" s="31"/>
      <c r="AR40" s="31">
        <v>90000</v>
      </c>
      <c r="AS40" s="31"/>
      <c r="AT40" s="31"/>
      <c r="AU40" s="45"/>
      <c r="AV40" s="45"/>
      <c r="AW40" s="33">
        <f t="shared" si="1"/>
        <v>148630404</v>
      </c>
      <c r="AX40" s="33"/>
      <c r="AY40" s="33"/>
      <c r="AZ40" s="31"/>
      <c r="BA40" s="31"/>
      <c r="BB40" s="31"/>
      <c r="BC40" s="31"/>
      <c r="BD40" s="31"/>
      <c r="BE40" s="31"/>
      <c r="BF40" s="31"/>
      <c r="BG40" s="31"/>
      <c r="BH40" s="33">
        <f t="shared" si="2"/>
        <v>0</v>
      </c>
      <c r="BI40" s="31"/>
    </row>
    <row r="41" spans="1:61" ht="70.5" customHeight="1" x14ac:dyDescent="0.8">
      <c r="A41" s="12" t="s">
        <v>39</v>
      </c>
      <c r="B41" s="13" t="s">
        <v>73</v>
      </c>
      <c r="C41" s="30"/>
      <c r="D41" s="30">
        <v>4740300</v>
      </c>
      <c r="E41" s="30">
        <v>88408400</v>
      </c>
      <c r="F41" s="30">
        <v>86734500</v>
      </c>
      <c r="G41" s="30">
        <v>3205300</v>
      </c>
      <c r="H41" s="29">
        <v>8802383</v>
      </c>
      <c r="I41" s="29"/>
      <c r="J41" s="33">
        <f t="shared" si="9"/>
        <v>0</v>
      </c>
      <c r="K41" s="29"/>
      <c r="L41" s="29"/>
      <c r="M41" s="29"/>
      <c r="N41" s="29">
        <v>659862</v>
      </c>
      <c r="O41" s="29">
        <v>99503</v>
      </c>
      <c r="P41" s="29">
        <v>803738</v>
      </c>
      <c r="Q41" s="29"/>
      <c r="R41" s="29"/>
      <c r="S41" s="33"/>
      <c r="T41" s="33">
        <f t="shared" si="10"/>
        <v>348856</v>
      </c>
      <c r="U41" s="29"/>
      <c r="V41" s="29"/>
      <c r="W41" s="29">
        <f>348856</f>
        <v>348856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31">
        <f>400000-30000</f>
        <v>370000</v>
      </c>
      <c r="AL41" s="31"/>
      <c r="AM41" s="31"/>
      <c r="AN41" s="31"/>
      <c r="AO41" s="31"/>
      <c r="AP41" s="31"/>
      <c r="AQ41" s="31"/>
      <c r="AR41" s="31">
        <f>91000-43000</f>
        <v>48000</v>
      </c>
      <c r="AS41" s="31"/>
      <c r="AT41" s="31"/>
      <c r="AU41" s="45"/>
      <c r="AV41" s="45"/>
      <c r="AW41" s="33">
        <f t="shared" si="1"/>
        <v>194220842</v>
      </c>
      <c r="AX41" s="33"/>
      <c r="AY41" s="33"/>
      <c r="AZ41" s="31"/>
      <c r="BA41" s="31"/>
      <c r="BB41" s="31"/>
      <c r="BC41" s="31"/>
      <c r="BD41" s="31"/>
      <c r="BE41" s="31"/>
      <c r="BF41" s="31"/>
      <c r="BG41" s="31"/>
      <c r="BH41" s="33">
        <f t="shared" si="2"/>
        <v>0</v>
      </c>
      <c r="BI41" s="31"/>
    </row>
    <row r="42" spans="1:61" ht="70.5" customHeight="1" x14ac:dyDescent="0.8">
      <c r="A42" s="12" t="s">
        <v>40</v>
      </c>
      <c r="B42" s="13" t="s">
        <v>74</v>
      </c>
      <c r="C42" s="30"/>
      <c r="D42" s="30">
        <v>5399000</v>
      </c>
      <c r="E42" s="30">
        <v>62111400</v>
      </c>
      <c r="F42" s="30">
        <v>72714800</v>
      </c>
      <c r="G42" s="30">
        <v>1263800</v>
      </c>
      <c r="H42" s="29">
        <v>2117687</v>
      </c>
      <c r="I42" s="29"/>
      <c r="J42" s="33">
        <f t="shared" si="9"/>
        <v>0</v>
      </c>
      <c r="K42" s="29"/>
      <c r="L42" s="29"/>
      <c r="M42" s="29"/>
      <c r="N42" s="29">
        <v>1114939</v>
      </c>
      <c r="O42" s="29">
        <v>168126</v>
      </c>
      <c r="P42" s="29">
        <v>1012292</v>
      </c>
      <c r="Q42" s="29"/>
      <c r="R42" s="29"/>
      <c r="S42" s="33"/>
      <c r="T42" s="33">
        <f t="shared" si="10"/>
        <v>1616179</v>
      </c>
      <c r="U42" s="29"/>
      <c r="V42" s="29">
        <f>1339500</f>
        <v>1339500</v>
      </c>
      <c r="W42" s="29">
        <f>276679</f>
        <v>276679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31">
        <f>1160000-345000</f>
        <v>815000</v>
      </c>
      <c r="AL42" s="31"/>
      <c r="AM42" s="31"/>
      <c r="AN42" s="31"/>
      <c r="AO42" s="31"/>
      <c r="AP42" s="31"/>
      <c r="AQ42" s="31"/>
      <c r="AR42" s="31">
        <v>91000</v>
      </c>
      <c r="AS42" s="31"/>
      <c r="AT42" s="31"/>
      <c r="AU42" s="45"/>
      <c r="AV42" s="45"/>
      <c r="AW42" s="33">
        <f t="shared" si="1"/>
        <v>148424223</v>
      </c>
      <c r="AX42" s="33"/>
      <c r="AY42" s="33"/>
      <c r="AZ42" s="31"/>
      <c r="BA42" s="31"/>
      <c r="BB42" s="31"/>
      <c r="BC42" s="31"/>
      <c r="BD42" s="31">
        <f>800</f>
        <v>800</v>
      </c>
      <c r="BE42" s="31"/>
      <c r="BF42" s="31"/>
      <c r="BG42" s="31"/>
      <c r="BH42" s="33">
        <f t="shared" si="2"/>
        <v>800</v>
      </c>
      <c r="BI42" s="31"/>
    </row>
    <row r="43" spans="1:61" ht="70.5" customHeight="1" x14ac:dyDescent="0.8">
      <c r="A43" s="12" t="s">
        <v>41</v>
      </c>
      <c r="B43" s="13" t="s">
        <v>75</v>
      </c>
      <c r="C43" s="30"/>
      <c r="D43" s="30">
        <v>2600600</v>
      </c>
      <c r="E43" s="30">
        <v>72503100</v>
      </c>
      <c r="F43" s="30">
        <v>72750900</v>
      </c>
      <c r="G43" s="30">
        <v>918200</v>
      </c>
      <c r="H43" s="29">
        <v>2123565</v>
      </c>
      <c r="I43" s="29"/>
      <c r="J43" s="33">
        <f t="shared" si="9"/>
        <v>0</v>
      </c>
      <c r="K43" s="29"/>
      <c r="L43" s="29"/>
      <c r="M43" s="29"/>
      <c r="N43" s="29">
        <v>887400</v>
      </c>
      <c r="O43" s="29">
        <v>133815</v>
      </c>
      <c r="P43" s="29">
        <v>829097</v>
      </c>
      <c r="Q43" s="29"/>
      <c r="R43" s="29"/>
      <c r="S43" s="33"/>
      <c r="T43" s="33">
        <f t="shared" si="10"/>
        <v>156384</v>
      </c>
      <c r="U43" s="29"/>
      <c r="V43" s="29"/>
      <c r="W43" s="29">
        <f>156384</f>
        <v>156384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31">
        <v>660000</v>
      </c>
      <c r="AL43" s="31"/>
      <c r="AM43" s="31"/>
      <c r="AN43" s="31"/>
      <c r="AO43" s="31"/>
      <c r="AP43" s="31"/>
      <c r="AQ43" s="31"/>
      <c r="AR43" s="31">
        <v>91000</v>
      </c>
      <c r="AS43" s="31"/>
      <c r="AT43" s="31">
        <f>915000</f>
        <v>915000</v>
      </c>
      <c r="AU43" s="45"/>
      <c r="AV43" s="45"/>
      <c r="AW43" s="33">
        <f t="shared" si="1"/>
        <v>154569061</v>
      </c>
      <c r="AX43" s="33"/>
      <c r="AY43" s="33"/>
      <c r="AZ43" s="31"/>
      <c r="BA43" s="31"/>
      <c r="BB43" s="31"/>
      <c r="BC43" s="31"/>
      <c r="BD43" s="31">
        <v>15700</v>
      </c>
      <c r="BE43" s="31"/>
      <c r="BF43" s="31"/>
      <c r="BG43" s="31"/>
      <c r="BH43" s="33">
        <f t="shared" si="2"/>
        <v>15700</v>
      </c>
      <c r="BI43" s="31"/>
    </row>
    <row r="44" spans="1:61" ht="70.5" customHeight="1" x14ac:dyDescent="0.8">
      <c r="A44" s="12" t="s">
        <v>42</v>
      </c>
      <c r="B44" s="13" t="s">
        <v>76</v>
      </c>
      <c r="C44" s="30"/>
      <c r="D44" s="30">
        <v>1462300</v>
      </c>
      <c r="E44" s="30">
        <v>42727200</v>
      </c>
      <c r="F44" s="30">
        <v>55845200</v>
      </c>
      <c r="G44" s="30">
        <v>2127500</v>
      </c>
      <c r="H44" s="29">
        <v>2321233</v>
      </c>
      <c r="I44" s="29"/>
      <c r="J44" s="33">
        <f t="shared" si="9"/>
        <v>0</v>
      </c>
      <c r="K44" s="29"/>
      <c r="L44" s="29"/>
      <c r="M44" s="29"/>
      <c r="N44" s="29"/>
      <c r="O44" s="29"/>
      <c r="P44" s="29">
        <v>511741</v>
      </c>
      <c r="Q44" s="29"/>
      <c r="R44" s="29"/>
      <c r="S44" s="33"/>
      <c r="T44" s="33">
        <f t="shared" si="10"/>
        <v>144354</v>
      </c>
      <c r="U44" s="29"/>
      <c r="V44" s="29"/>
      <c r="W44" s="29">
        <f>144354</f>
        <v>144354</v>
      </c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31">
        <v>500000</v>
      </c>
      <c r="AL44" s="31"/>
      <c r="AM44" s="31"/>
      <c r="AN44" s="31"/>
      <c r="AO44" s="31"/>
      <c r="AP44" s="31"/>
      <c r="AQ44" s="31"/>
      <c r="AR44" s="31">
        <v>91000</v>
      </c>
      <c r="AS44" s="31"/>
      <c r="AT44" s="31"/>
      <c r="AU44" s="45"/>
      <c r="AV44" s="45"/>
      <c r="AW44" s="33">
        <f t="shared" si="1"/>
        <v>105730528</v>
      </c>
      <c r="AX44" s="33"/>
      <c r="AY44" s="33"/>
      <c r="AZ44" s="31"/>
      <c r="BA44" s="31"/>
      <c r="BB44" s="31"/>
      <c r="BC44" s="31"/>
      <c r="BD44" s="31">
        <v>5600</v>
      </c>
      <c r="BE44" s="31"/>
      <c r="BF44" s="31"/>
      <c r="BG44" s="31"/>
      <c r="BH44" s="33">
        <f t="shared" si="2"/>
        <v>5600</v>
      </c>
      <c r="BI44" s="31"/>
    </row>
    <row r="45" spans="1:61" ht="70.5" customHeight="1" x14ac:dyDescent="0.8">
      <c r="A45" s="12" t="s">
        <v>43</v>
      </c>
      <c r="B45" s="13" t="s">
        <v>77</v>
      </c>
      <c r="C45" s="30"/>
      <c r="D45" s="30">
        <v>992300</v>
      </c>
      <c r="E45" s="30">
        <v>55824200</v>
      </c>
      <c r="F45" s="30">
        <v>76719900</v>
      </c>
      <c r="G45" s="30">
        <v>2298800</v>
      </c>
      <c r="H45" s="29">
        <v>5698506</v>
      </c>
      <c r="I45" s="29"/>
      <c r="J45" s="33">
        <f t="shared" si="9"/>
        <v>0</v>
      </c>
      <c r="K45" s="29"/>
      <c r="L45" s="29"/>
      <c r="M45" s="29"/>
      <c r="N45" s="29"/>
      <c r="O45" s="29"/>
      <c r="P45" s="29">
        <v>658330</v>
      </c>
      <c r="Q45" s="29"/>
      <c r="R45" s="29"/>
      <c r="S45" s="33"/>
      <c r="T45" s="33">
        <f t="shared" si="10"/>
        <v>48118</v>
      </c>
      <c r="U45" s="29"/>
      <c r="V45" s="29"/>
      <c r="W45" s="29">
        <f>48118</f>
        <v>48118</v>
      </c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31">
        <f>460000-70000</f>
        <v>390000</v>
      </c>
      <c r="AL45" s="31"/>
      <c r="AM45" s="31"/>
      <c r="AN45" s="31"/>
      <c r="AO45" s="31"/>
      <c r="AP45" s="31"/>
      <c r="AQ45" s="31"/>
      <c r="AR45" s="31">
        <v>91000</v>
      </c>
      <c r="AS45" s="31"/>
      <c r="AT45" s="31"/>
      <c r="AU45" s="45"/>
      <c r="AV45" s="45"/>
      <c r="AW45" s="33">
        <f t="shared" ref="AW45:AW76" si="11">SUM(C45:AV45)-U45-V45-W45-X45-Y45-Z45-AA45-AH45-K45-L45-M45</f>
        <v>142721154</v>
      </c>
      <c r="AX45" s="33"/>
      <c r="AY45" s="33"/>
      <c r="AZ45" s="31"/>
      <c r="BA45" s="31"/>
      <c r="BB45" s="31"/>
      <c r="BC45" s="31"/>
      <c r="BD45" s="31">
        <f>6200</f>
        <v>6200</v>
      </c>
      <c r="BE45" s="31"/>
      <c r="BF45" s="31"/>
      <c r="BG45" s="31"/>
      <c r="BH45" s="33">
        <f t="shared" si="2"/>
        <v>6200</v>
      </c>
      <c r="BI45" s="31"/>
    </row>
    <row r="46" spans="1:61" ht="70.5" customHeight="1" x14ac:dyDescent="0.8">
      <c r="A46" s="12" t="s">
        <v>44</v>
      </c>
      <c r="B46" s="13" t="s">
        <v>78</v>
      </c>
      <c r="C46" s="30"/>
      <c r="D46" s="30">
        <v>1477800</v>
      </c>
      <c r="E46" s="30">
        <v>43294500</v>
      </c>
      <c r="F46" s="30">
        <v>71648200</v>
      </c>
      <c r="G46" s="30">
        <v>1143500</v>
      </c>
      <c r="H46" s="29">
        <v>1781790</v>
      </c>
      <c r="I46" s="29"/>
      <c r="J46" s="33">
        <f t="shared" si="9"/>
        <v>0</v>
      </c>
      <c r="K46" s="29"/>
      <c r="L46" s="29"/>
      <c r="M46" s="29"/>
      <c r="N46" s="29"/>
      <c r="O46" s="29"/>
      <c r="P46" s="29">
        <f>297452-297452</f>
        <v>0</v>
      </c>
      <c r="Q46" s="29"/>
      <c r="R46" s="29"/>
      <c r="S46" s="33"/>
      <c r="T46" s="33">
        <f t="shared" si="10"/>
        <v>1387618</v>
      </c>
      <c r="U46" s="29"/>
      <c r="V46" s="29">
        <v>1339500</v>
      </c>
      <c r="W46" s="29">
        <f>48118</f>
        <v>48118</v>
      </c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31">
        <v>380000</v>
      </c>
      <c r="AL46" s="31"/>
      <c r="AM46" s="31"/>
      <c r="AN46" s="31"/>
      <c r="AO46" s="31"/>
      <c r="AP46" s="31"/>
      <c r="AQ46" s="31"/>
      <c r="AR46" s="31">
        <f>91000+32000</f>
        <v>123000</v>
      </c>
      <c r="AS46" s="31"/>
      <c r="AT46" s="31"/>
      <c r="AU46" s="45"/>
      <c r="AV46" s="45"/>
      <c r="AW46" s="33">
        <f t="shared" si="11"/>
        <v>121236408</v>
      </c>
      <c r="AX46" s="33"/>
      <c r="AY46" s="33"/>
      <c r="AZ46" s="31"/>
      <c r="BA46" s="31"/>
      <c r="BB46" s="31"/>
      <c r="BC46" s="31"/>
      <c r="BD46" s="31">
        <v>2300</v>
      </c>
      <c r="BE46" s="31"/>
      <c r="BF46" s="31"/>
      <c r="BG46" s="31"/>
      <c r="BH46" s="33">
        <f t="shared" si="2"/>
        <v>2300</v>
      </c>
      <c r="BI46" s="31"/>
    </row>
    <row r="47" spans="1:61" ht="70.5" customHeight="1" x14ac:dyDescent="0.8">
      <c r="A47" s="12" t="s">
        <v>45</v>
      </c>
      <c r="B47" s="13" t="s">
        <v>79</v>
      </c>
      <c r="C47" s="30"/>
      <c r="D47" s="30">
        <v>2398900</v>
      </c>
      <c r="E47" s="30">
        <v>42378400</v>
      </c>
      <c r="F47" s="30">
        <v>65189300</v>
      </c>
      <c r="G47" s="30">
        <v>1324300</v>
      </c>
      <c r="H47" s="29">
        <v>2168609</v>
      </c>
      <c r="I47" s="29"/>
      <c r="J47" s="33">
        <f t="shared" si="9"/>
        <v>0</v>
      </c>
      <c r="K47" s="29"/>
      <c r="L47" s="29"/>
      <c r="M47" s="29"/>
      <c r="N47" s="29">
        <v>386815</v>
      </c>
      <c r="O47" s="29">
        <v>58330</v>
      </c>
      <c r="P47" s="29">
        <v>684757</v>
      </c>
      <c r="Q47" s="29"/>
      <c r="R47" s="29"/>
      <c r="S47" s="33"/>
      <c r="T47" s="33">
        <f t="shared" si="10"/>
        <v>1495884</v>
      </c>
      <c r="U47" s="29"/>
      <c r="V47" s="29">
        <v>1339500</v>
      </c>
      <c r="W47" s="29">
        <f>156384</f>
        <v>156384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31">
        <f>300000+60000</f>
        <v>360000</v>
      </c>
      <c r="AL47" s="31"/>
      <c r="AM47" s="31"/>
      <c r="AN47" s="31"/>
      <c r="AO47" s="31"/>
      <c r="AP47" s="31"/>
      <c r="AQ47" s="31"/>
      <c r="AR47" s="31">
        <v>91000</v>
      </c>
      <c r="AS47" s="31"/>
      <c r="AT47" s="31"/>
      <c r="AU47" s="45"/>
      <c r="AV47" s="45"/>
      <c r="AW47" s="33">
        <f t="shared" si="11"/>
        <v>116536295</v>
      </c>
      <c r="AX47" s="33"/>
      <c r="AY47" s="33"/>
      <c r="AZ47" s="31"/>
      <c r="BA47" s="31"/>
      <c r="BB47" s="31"/>
      <c r="BC47" s="31"/>
      <c r="BD47" s="31"/>
      <c r="BE47" s="31"/>
      <c r="BF47" s="31"/>
      <c r="BG47" s="31"/>
      <c r="BH47" s="33">
        <f t="shared" si="2"/>
        <v>0</v>
      </c>
      <c r="BI47" s="31"/>
    </row>
    <row r="48" spans="1:61" ht="70.5" customHeight="1" x14ac:dyDescent="0.8">
      <c r="A48" s="12" t="s">
        <v>46</v>
      </c>
      <c r="B48" s="13" t="s">
        <v>80</v>
      </c>
      <c r="C48" s="30"/>
      <c r="D48" s="30">
        <v>1829200</v>
      </c>
      <c r="E48" s="30">
        <v>20509600</v>
      </c>
      <c r="F48" s="30">
        <v>26764900</v>
      </c>
      <c r="G48" s="30">
        <v>1331600</v>
      </c>
      <c r="H48" s="29">
        <v>2085662</v>
      </c>
      <c r="I48" s="29"/>
      <c r="J48" s="33">
        <f t="shared" si="9"/>
        <v>200</v>
      </c>
      <c r="K48" s="29"/>
      <c r="L48" s="29"/>
      <c r="M48" s="29">
        <v>200</v>
      </c>
      <c r="N48" s="29"/>
      <c r="O48" s="29"/>
      <c r="P48" s="29">
        <f>237736-178299</f>
        <v>59437</v>
      </c>
      <c r="Q48" s="29"/>
      <c r="R48" s="29"/>
      <c r="S48" s="33"/>
      <c r="T48" s="33">
        <f t="shared" si="10"/>
        <v>1447766</v>
      </c>
      <c r="U48" s="29"/>
      <c r="V48" s="29">
        <v>1339500</v>
      </c>
      <c r="W48" s="29">
        <f>108266</f>
        <v>108266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31">
        <f>200000-200000</f>
        <v>0</v>
      </c>
      <c r="AL48" s="31"/>
      <c r="AM48" s="31"/>
      <c r="AN48" s="31"/>
      <c r="AO48" s="31"/>
      <c r="AP48" s="31"/>
      <c r="AQ48" s="31"/>
      <c r="AR48" s="31">
        <f>90000-40000</f>
        <v>50000</v>
      </c>
      <c r="AS48" s="31"/>
      <c r="AT48" s="31"/>
      <c r="AU48" s="45"/>
      <c r="AV48" s="45"/>
      <c r="AW48" s="33">
        <f t="shared" si="11"/>
        <v>54078365</v>
      </c>
      <c r="AX48" s="33"/>
      <c r="AY48" s="33"/>
      <c r="AZ48" s="31"/>
      <c r="BA48" s="31"/>
      <c r="BB48" s="31"/>
      <c r="BC48" s="31"/>
      <c r="BD48" s="31">
        <f>4684</f>
        <v>4684</v>
      </c>
      <c r="BE48" s="31"/>
      <c r="BF48" s="31"/>
      <c r="BG48" s="31"/>
      <c r="BH48" s="33">
        <f t="shared" si="2"/>
        <v>4684</v>
      </c>
      <c r="BI48" s="31"/>
    </row>
    <row r="49" spans="1:61" ht="70.5" customHeight="1" x14ac:dyDescent="0.8">
      <c r="A49" s="12"/>
      <c r="B49" s="13" t="s">
        <v>50</v>
      </c>
      <c r="C49" s="29">
        <f t="shared" ref="C49:I49" si="12">C48+C47+C46+C45+C44+C43+C42+C41+C40+C39+C38+C37+C36+C35+C34+C33+C32+C31+C30+C29+C28+C27</f>
        <v>0</v>
      </c>
      <c r="D49" s="29">
        <f>D48+D47+D46+D45+D44+D43+D42+D41+D40+D39+D38+D37+D36+D35+D34+D33+D32+D31+D30+D29+D28+D27</f>
        <v>78043800</v>
      </c>
      <c r="E49" s="29">
        <f t="shared" si="12"/>
        <v>1346085300</v>
      </c>
      <c r="F49" s="29">
        <f t="shared" si="12"/>
        <v>1648276200</v>
      </c>
      <c r="G49" s="29">
        <f t="shared" si="12"/>
        <v>42856900</v>
      </c>
      <c r="H49" s="29">
        <f t="shared" si="12"/>
        <v>71418233</v>
      </c>
      <c r="I49" s="29">
        <f t="shared" si="12"/>
        <v>0</v>
      </c>
      <c r="J49" s="29">
        <f>J48+J47+J46+J45+J44+J43+J42+J41+J40+J39+J38+J37+J36+J35+J34+J33+J32+J31+J30+J29+J28+J27</f>
        <v>1396100</v>
      </c>
      <c r="K49" s="29">
        <f>K48+K47+K46+K45+K44+K43+K42+K41+K40+K39+K38+K37+K36+K35+K34+K33+K32+K31+K30+K29+K28+K27</f>
        <v>0</v>
      </c>
      <c r="L49" s="29">
        <f>L48+L47+L46+L45+L44+L43+L42+L41+L40+L39+L38+L37+L36+L35+L34+L33+L32+L31+L30+L29+L28+L27</f>
        <v>1389000</v>
      </c>
      <c r="M49" s="29">
        <f>M48+M47+M46+M45+M44+M43+M42+M41+M40+M39+M38+M37+M36+M35+M34+M33+M32+M31+M30+M29+M28+M27</f>
        <v>7100</v>
      </c>
      <c r="N49" s="29">
        <f>N27+N28+N29+N30+N31+N32+N33+N34+N35+N36+N37+N38+N39+N40+N41+N42+N43+N44+N45+N46+N47+N48</f>
        <v>10980357</v>
      </c>
      <c r="O49" s="29">
        <f>O27+O28+O29+O30+O31+O32+O33+O34+O35+O36+O37+O38+O39+O40+O41+O42+O43+O44+O45+O46+O47+O48</f>
        <v>1655774</v>
      </c>
      <c r="P49" s="29">
        <f>P48+P47+P46+P45+P44+P43+P42+P41+P40+P39+P38+P37+P36+P35+P34+P33+P32+P31+P30+P29+P28+P27</f>
        <v>15116700</v>
      </c>
      <c r="Q49" s="29">
        <f>Q48+Q47+Q46+Q45+Q44+Q43+Q42+Q41+Q40+Q39+Q38+Q37+Q36+Q35+Q34+Q33+Q32+Q31+Q30+Q29+Q28+Q27</f>
        <v>0</v>
      </c>
      <c r="R49" s="29">
        <f>R48+R47+R46+R45+R44+R43+R42+R41+R40+R39+R38+R37+R36+R35+R34+R33+R32+R31+R30+R29+R28+R27</f>
        <v>0</v>
      </c>
      <c r="S49" s="33"/>
      <c r="T49" s="33">
        <f t="shared" si="10"/>
        <v>24641948</v>
      </c>
      <c r="U49" s="29">
        <f t="shared" ref="U49:AB49" si="13">U48+U47+U46+U45+U44+U43+U42+U41+U40+U39+U38+U37+U36+U35+U34+U33+U32+U31+U30+U29+U28+U27</f>
        <v>0</v>
      </c>
      <c r="V49" s="29">
        <f t="shared" si="13"/>
        <v>20092800</v>
      </c>
      <c r="W49" s="29">
        <f t="shared" si="13"/>
        <v>4426863</v>
      </c>
      <c r="X49" s="29">
        <f t="shared" si="13"/>
        <v>0</v>
      </c>
      <c r="Y49" s="29">
        <f t="shared" si="13"/>
        <v>122285</v>
      </c>
      <c r="Z49" s="29">
        <f t="shared" si="13"/>
        <v>0</v>
      </c>
      <c r="AA49" s="29">
        <f t="shared" si="13"/>
        <v>0</v>
      </c>
      <c r="AB49" s="29">
        <f t="shared" si="13"/>
        <v>0</v>
      </c>
      <c r="AC49" s="29">
        <f>AC48+AC47+AC46+AC45+AC44+AC43+AC42+AC41+AC40+AC39+AC38+AC37+AC36+AC35+AC34+AC33+AC32+AC31+AC30+AC29+AC28+AC27</f>
        <v>0</v>
      </c>
      <c r="AD49" s="29"/>
      <c r="AE49" s="29">
        <f>AE48+AE47+AE46+AE45+AE44+AE43+AE42+AE41+AE40+AE39+AE38+AE37+AE36+AE35+AE34+AE33+AE32+AE31+AE30+AE29+AE28+AE27</f>
        <v>0</v>
      </c>
      <c r="AF49" s="29"/>
      <c r="AG49" s="29">
        <f>AG48+AG47+AG46+AG45+AG44+AG43+AG42+AG41+AG40+AG39+AG38+AG37+AG36+AG35+AG34+AG33+AG32+AG31+AG30+AG29+AG28+AG27</f>
        <v>0</v>
      </c>
      <c r="AH49" s="29">
        <f>AH48+AH47+AH46+AH45+AH44+AH43+AH42+AH41+AH40+AH39+AH38+AH37+AH36+AH35+AH34+AH33+AH32+AH31+AH30+AH29+AH28+AH27</f>
        <v>0</v>
      </c>
      <c r="AI49" s="29">
        <f>AI48+AI47+AI46+AI45+AI44+AI43+AI42+AI41+AI40+AI39+AI38+AI37+AI36+AI35+AI34+AI33+AI32+AI31+AI30+AI29+AI28+AI27</f>
        <v>0</v>
      </c>
      <c r="AJ49" s="29">
        <f>AJ27+AJ28+AJ29+AJ30+AJ31+AJ32+AJ33+AJ34+AJ35+AJ36+AJ37+AJ38+AJ39+AJ40+AJ41+AJ42+AJ43+AJ44+AJ45+AJ46+AJ47+AJ48</f>
        <v>300000</v>
      </c>
      <c r="AK49" s="29">
        <f>AK48+AK47+AK46+AK45+AK44+AK43+AK42+AK41+AK40+AK39+AK38+AK37+AK36+AK35+AK34+AK33+AK32+AK31+AK30+AK29+AK28+AK27</f>
        <v>11795000</v>
      </c>
      <c r="AL49" s="29">
        <f t="shared" ref="AL49:AV49" si="14">AL48+AL47+AL46+AL45+AL44+AL43+AL42+AL41+AL40+AL39+AL38+AL37+AL36+AL35+AL34+AL33+AL32+AL31+AL30+AL29+AL28+AL27</f>
        <v>0</v>
      </c>
      <c r="AM49" s="29">
        <f t="shared" si="14"/>
        <v>0</v>
      </c>
      <c r="AN49" s="29">
        <f t="shared" si="14"/>
        <v>0</v>
      </c>
      <c r="AO49" s="29">
        <f t="shared" si="14"/>
        <v>0</v>
      </c>
      <c r="AP49" s="29">
        <f t="shared" si="14"/>
        <v>550000</v>
      </c>
      <c r="AQ49" s="29">
        <f t="shared" si="14"/>
        <v>26000</v>
      </c>
      <c r="AR49" s="29">
        <f t="shared" si="14"/>
        <v>2000000</v>
      </c>
      <c r="AS49" s="29">
        <f t="shared" si="14"/>
        <v>0</v>
      </c>
      <c r="AT49" s="29">
        <f t="shared" si="14"/>
        <v>2250000</v>
      </c>
      <c r="AU49" s="29">
        <f t="shared" si="14"/>
        <v>0</v>
      </c>
      <c r="AV49" s="29">
        <f t="shared" si="14"/>
        <v>0</v>
      </c>
      <c r="AW49" s="33">
        <f t="shared" si="11"/>
        <v>3257392312</v>
      </c>
      <c r="AX49" s="29">
        <f t="shared" ref="AX49:BG49" si="15">AX48+AX47+AX46+AX45+AX44+AX43+AX42+AX41+AX40+AX39+AX38+AX37+AX36+AX35+AX34+AX33+AX32+AX31+AX30+AX29+AX28+AX27</f>
        <v>0</v>
      </c>
      <c r="AY49" s="29"/>
      <c r="AZ49" s="29">
        <f t="shared" si="15"/>
        <v>0</v>
      </c>
      <c r="BA49" s="29">
        <f t="shared" si="15"/>
        <v>3450000</v>
      </c>
      <c r="BB49" s="29">
        <f t="shared" si="15"/>
        <v>14500000</v>
      </c>
      <c r="BC49" s="29">
        <f t="shared" si="15"/>
        <v>0</v>
      </c>
      <c r="BD49" s="29">
        <f t="shared" si="15"/>
        <v>203646</v>
      </c>
      <c r="BE49" s="29">
        <f t="shared" si="15"/>
        <v>0</v>
      </c>
      <c r="BF49" s="29">
        <f t="shared" si="15"/>
        <v>0</v>
      </c>
      <c r="BG49" s="29">
        <f t="shared" si="15"/>
        <v>0</v>
      </c>
      <c r="BH49" s="33">
        <f t="shared" si="2"/>
        <v>18153646</v>
      </c>
      <c r="BI49" s="29">
        <f>BI48+BI47+BI46+BI45+BI44+BI43+BI42+BI41+BI40+BI39+BI38+BI37+BI36+BI35+BI34+BI33+BI32+BI31+BI30+BI29+BI28+BI27</f>
        <v>0</v>
      </c>
    </row>
    <row r="50" spans="1:61" ht="70.5" customHeight="1" x14ac:dyDescent="0.8">
      <c r="A50" s="12"/>
      <c r="B50" s="13" t="s">
        <v>105</v>
      </c>
      <c r="C50" s="29"/>
      <c r="D50" s="29"/>
      <c r="E50" s="29"/>
      <c r="F50" s="29"/>
      <c r="G50" s="29"/>
      <c r="H50" s="29"/>
      <c r="I50" s="29"/>
      <c r="J50" s="33">
        <f>K50</f>
        <v>0</v>
      </c>
      <c r="K50" s="29"/>
      <c r="L50" s="29"/>
      <c r="M50" s="29"/>
      <c r="N50" s="29"/>
      <c r="O50" s="29"/>
      <c r="P50" s="29"/>
      <c r="Q50" s="29"/>
      <c r="R50" s="29"/>
      <c r="S50" s="33"/>
      <c r="T50" s="33">
        <f t="shared" ref="T50:T109" si="16">U50+V50+W50+X50+Y50+Z50+AA50</f>
        <v>0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33"/>
      <c r="AV50" s="33"/>
      <c r="AW50" s="33">
        <f t="shared" si="11"/>
        <v>0</v>
      </c>
      <c r="AX50" s="33"/>
      <c r="AY50" s="33"/>
      <c r="AZ50" s="29"/>
      <c r="BA50" s="29"/>
      <c r="BB50" s="29"/>
      <c r="BC50" s="29"/>
      <c r="BD50" s="29"/>
      <c r="BE50" s="29"/>
      <c r="BF50" s="29"/>
      <c r="BG50" s="29"/>
      <c r="BH50" s="33">
        <f t="shared" si="2"/>
        <v>0</v>
      </c>
      <c r="BI50" s="29"/>
    </row>
    <row r="51" spans="1:61" ht="70.5" customHeight="1" x14ac:dyDescent="0.8">
      <c r="A51" s="12" t="s">
        <v>106</v>
      </c>
      <c r="B51" s="13" t="s">
        <v>107</v>
      </c>
      <c r="C51" s="29"/>
      <c r="D51" s="29">
        <v>3793400</v>
      </c>
      <c r="E51" s="29"/>
      <c r="F51" s="29"/>
      <c r="G51" s="29"/>
      <c r="H51" s="29"/>
      <c r="I51" s="29"/>
      <c r="J51" s="33">
        <f>K51</f>
        <v>0</v>
      </c>
      <c r="K51" s="29"/>
      <c r="L51" s="29"/>
      <c r="M51" s="29"/>
      <c r="N51" s="29">
        <v>916655</v>
      </c>
      <c r="O51" s="29">
        <v>138226</v>
      </c>
      <c r="P51" s="29">
        <v>703875</v>
      </c>
      <c r="Q51" s="29"/>
      <c r="R51" s="29"/>
      <c r="S51" s="33"/>
      <c r="T51" s="33">
        <f t="shared" si="16"/>
        <v>1602431</v>
      </c>
      <c r="U51" s="29"/>
      <c r="V51" s="29">
        <v>1339500</v>
      </c>
      <c r="W51" s="29">
        <f>262931</f>
        <v>262931</v>
      </c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>
        <f>385000+100000</f>
        <v>485000</v>
      </c>
      <c r="AL51" s="29"/>
      <c r="AM51" s="29"/>
      <c r="AN51" s="29"/>
      <c r="AO51" s="29"/>
      <c r="AP51" s="29"/>
      <c r="AQ51" s="29"/>
      <c r="AR51" s="29"/>
      <c r="AS51" s="29"/>
      <c r="AT51" s="29"/>
      <c r="AU51" s="33"/>
      <c r="AV51" s="33"/>
      <c r="AW51" s="33">
        <f t="shared" si="11"/>
        <v>7639587</v>
      </c>
      <c r="AX51" s="33"/>
      <c r="AY51" s="33"/>
      <c r="AZ51" s="29"/>
      <c r="BA51" s="29"/>
      <c r="BB51" s="29"/>
      <c r="BC51" s="29"/>
      <c r="BD51" s="29"/>
      <c r="BE51" s="29"/>
      <c r="BF51" s="29"/>
      <c r="BG51" s="29"/>
      <c r="BH51" s="33">
        <f t="shared" si="2"/>
        <v>0</v>
      </c>
      <c r="BI51" s="29"/>
    </row>
    <row r="52" spans="1:61" ht="70.5" customHeight="1" x14ac:dyDescent="0.8">
      <c r="A52" s="12" t="s">
        <v>108</v>
      </c>
      <c r="B52" s="13" t="s">
        <v>109</v>
      </c>
      <c r="C52" s="29"/>
      <c r="D52" s="29">
        <v>996200</v>
      </c>
      <c r="E52" s="29"/>
      <c r="F52" s="29"/>
      <c r="G52" s="29"/>
      <c r="H52" s="29"/>
      <c r="I52" s="29"/>
      <c r="J52" s="33">
        <f>K52</f>
        <v>0</v>
      </c>
      <c r="K52" s="29"/>
      <c r="L52" s="29"/>
      <c r="M52" s="29"/>
      <c r="N52" s="29"/>
      <c r="O52" s="29"/>
      <c r="P52" s="29">
        <f>554307</f>
        <v>554307</v>
      </c>
      <c r="Q52" s="29"/>
      <c r="R52" s="29"/>
      <c r="S52" s="33"/>
      <c r="T52" s="33">
        <f t="shared" si="16"/>
        <v>61866</v>
      </c>
      <c r="U52" s="29"/>
      <c r="V52" s="29"/>
      <c r="W52" s="29">
        <f>61866</f>
        <v>61866</v>
      </c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>
        <v>65000</v>
      </c>
      <c r="AL52" s="29"/>
      <c r="AM52" s="29"/>
      <c r="AN52" s="29"/>
      <c r="AO52" s="29"/>
      <c r="AP52" s="29"/>
      <c r="AQ52" s="29"/>
      <c r="AR52" s="29"/>
      <c r="AS52" s="29"/>
      <c r="AT52" s="29"/>
      <c r="AU52" s="33"/>
      <c r="AV52" s="33"/>
      <c r="AW52" s="33">
        <f t="shared" si="11"/>
        <v>1677373</v>
      </c>
      <c r="AX52" s="33"/>
      <c r="AY52" s="33"/>
      <c r="AZ52" s="29"/>
      <c r="BA52" s="29"/>
      <c r="BB52" s="29"/>
      <c r="BC52" s="29"/>
      <c r="BD52" s="29">
        <f>7000</f>
        <v>7000</v>
      </c>
      <c r="BE52" s="29"/>
      <c r="BF52" s="29"/>
      <c r="BG52" s="29"/>
      <c r="BH52" s="33">
        <f t="shared" si="2"/>
        <v>7000</v>
      </c>
      <c r="BI52" s="29"/>
    </row>
    <row r="53" spans="1:61" ht="70.5" customHeight="1" x14ac:dyDescent="0.8">
      <c r="A53" s="12" t="s">
        <v>110</v>
      </c>
      <c r="B53" s="13" t="s">
        <v>111</v>
      </c>
      <c r="C53" s="29"/>
      <c r="D53" s="29">
        <v>1083400</v>
      </c>
      <c r="E53" s="29"/>
      <c r="F53" s="29"/>
      <c r="G53" s="29"/>
      <c r="H53" s="29"/>
      <c r="I53" s="29"/>
      <c r="J53" s="33">
        <f>K53</f>
        <v>0</v>
      </c>
      <c r="K53" s="29"/>
      <c r="L53" s="29"/>
      <c r="M53" s="29"/>
      <c r="N53" s="29"/>
      <c r="O53" s="29"/>
      <c r="P53" s="29"/>
      <c r="Q53" s="29"/>
      <c r="R53" s="29"/>
      <c r="S53" s="33"/>
      <c r="T53" s="33">
        <f t="shared" si="16"/>
        <v>61866</v>
      </c>
      <c r="U53" s="29"/>
      <c r="V53" s="29"/>
      <c r="W53" s="29">
        <f>61866</f>
        <v>61866</v>
      </c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>
        <v>65000</v>
      </c>
      <c r="AL53" s="29"/>
      <c r="AM53" s="29"/>
      <c r="AN53" s="29"/>
      <c r="AO53" s="29"/>
      <c r="AP53" s="29">
        <v>550000</v>
      </c>
      <c r="AQ53" s="29"/>
      <c r="AR53" s="29"/>
      <c r="AS53" s="29"/>
      <c r="AT53" s="29"/>
      <c r="AU53" s="33"/>
      <c r="AV53" s="33"/>
      <c r="AW53" s="33">
        <f t="shared" si="11"/>
        <v>1760266</v>
      </c>
      <c r="AX53" s="33"/>
      <c r="AY53" s="33"/>
      <c r="AZ53" s="29"/>
      <c r="BA53" s="29"/>
      <c r="BB53" s="29"/>
      <c r="BC53" s="29"/>
      <c r="BD53" s="29">
        <v>7600</v>
      </c>
      <c r="BE53" s="29"/>
      <c r="BF53" s="29"/>
      <c r="BG53" s="29"/>
      <c r="BH53" s="33">
        <f t="shared" si="2"/>
        <v>7600</v>
      </c>
      <c r="BI53" s="29"/>
    </row>
    <row r="54" spans="1:61" ht="70.5" customHeight="1" x14ac:dyDescent="0.8">
      <c r="A54" s="12" t="s">
        <v>112</v>
      </c>
      <c r="B54" s="13" t="s">
        <v>113</v>
      </c>
      <c r="C54" s="29"/>
      <c r="D54" s="29">
        <v>658200</v>
      </c>
      <c r="E54" s="29"/>
      <c r="F54" s="29"/>
      <c r="G54" s="29"/>
      <c r="H54" s="29"/>
      <c r="I54" s="29"/>
      <c r="J54" s="33">
        <f>K54</f>
        <v>0</v>
      </c>
      <c r="K54" s="29"/>
      <c r="L54" s="29"/>
      <c r="M54" s="29"/>
      <c r="N54" s="29"/>
      <c r="O54" s="29"/>
      <c r="P54" s="29"/>
      <c r="Q54" s="29"/>
      <c r="R54" s="29"/>
      <c r="S54" s="33"/>
      <c r="T54" s="33">
        <f t="shared" si="16"/>
        <v>1401366</v>
      </c>
      <c r="U54" s="29"/>
      <c r="V54" s="29">
        <f>1339500</f>
        <v>1339500</v>
      </c>
      <c r="W54" s="29">
        <f>61866</f>
        <v>61866</v>
      </c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>
        <v>30000</v>
      </c>
      <c r="AL54" s="29"/>
      <c r="AM54" s="29"/>
      <c r="AN54" s="29"/>
      <c r="AO54" s="29"/>
      <c r="AP54" s="29"/>
      <c r="AQ54" s="29"/>
      <c r="AR54" s="29"/>
      <c r="AS54" s="29"/>
      <c r="AT54" s="29"/>
      <c r="AU54" s="33"/>
      <c r="AV54" s="33"/>
      <c r="AW54" s="33">
        <f t="shared" si="11"/>
        <v>2089566</v>
      </c>
      <c r="AX54" s="33"/>
      <c r="AY54" s="33"/>
      <c r="AZ54" s="29"/>
      <c r="BA54" s="29"/>
      <c r="BB54" s="29"/>
      <c r="BC54" s="29"/>
      <c r="BD54" s="29">
        <v>4300</v>
      </c>
      <c r="BE54" s="29"/>
      <c r="BF54" s="29"/>
      <c r="BG54" s="29"/>
      <c r="BH54" s="33">
        <f t="shared" si="2"/>
        <v>4300</v>
      </c>
      <c r="BI54" s="29"/>
    </row>
    <row r="55" spans="1:61" ht="70.5" customHeight="1" x14ac:dyDescent="0.8">
      <c r="A55" s="12" t="s">
        <v>260</v>
      </c>
      <c r="B55" s="13" t="s">
        <v>261</v>
      </c>
      <c r="C55" s="29"/>
      <c r="D55" s="29">
        <v>507100</v>
      </c>
      <c r="E55" s="29"/>
      <c r="F55" s="29"/>
      <c r="G55" s="29"/>
      <c r="H55" s="29"/>
      <c r="I55" s="29"/>
      <c r="J55" s="33"/>
      <c r="K55" s="29"/>
      <c r="L55" s="29"/>
      <c r="M55" s="29"/>
      <c r="N55" s="29"/>
      <c r="O55" s="29"/>
      <c r="P55" s="29"/>
      <c r="Q55" s="29"/>
      <c r="R55" s="29"/>
      <c r="S55" s="33"/>
      <c r="T55" s="33">
        <f t="shared" si="16"/>
        <v>46400</v>
      </c>
      <c r="U55" s="29"/>
      <c r="V55" s="29"/>
      <c r="W55" s="29">
        <v>46400</v>
      </c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33"/>
      <c r="AV55" s="33"/>
      <c r="AW55" s="33">
        <f t="shared" si="11"/>
        <v>553500</v>
      </c>
      <c r="AX55" s="33"/>
      <c r="AY55" s="33"/>
      <c r="AZ55" s="29"/>
      <c r="BA55" s="29"/>
      <c r="BB55" s="29"/>
      <c r="BC55" s="29"/>
      <c r="BD55" s="29"/>
      <c r="BE55" s="29"/>
      <c r="BF55" s="29"/>
      <c r="BG55" s="29"/>
      <c r="BH55" s="33"/>
      <c r="BI55" s="29"/>
    </row>
    <row r="56" spans="1:61" ht="70.5" customHeight="1" x14ac:dyDescent="0.8">
      <c r="A56" s="12" t="s">
        <v>114</v>
      </c>
      <c r="B56" s="13" t="s">
        <v>115</v>
      </c>
      <c r="C56" s="29"/>
      <c r="D56" s="29">
        <v>1557400</v>
      </c>
      <c r="E56" s="29"/>
      <c r="F56" s="29"/>
      <c r="G56" s="29"/>
      <c r="H56" s="29"/>
      <c r="I56" s="29"/>
      <c r="J56" s="33">
        <f t="shared" ref="J56:J64" si="17">K56</f>
        <v>0</v>
      </c>
      <c r="K56" s="29"/>
      <c r="L56" s="29"/>
      <c r="M56" s="29"/>
      <c r="N56" s="29"/>
      <c r="O56" s="29"/>
      <c r="P56" s="29">
        <v>430939</v>
      </c>
      <c r="Q56" s="29"/>
      <c r="R56" s="29"/>
      <c r="S56" s="33"/>
      <c r="T56" s="33">
        <f t="shared" si="16"/>
        <v>139199</v>
      </c>
      <c r="U56" s="29"/>
      <c r="V56" s="29"/>
      <c r="W56" s="29">
        <f>139199</f>
        <v>139199</v>
      </c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>
        <v>500000</v>
      </c>
      <c r="AL56" s="29"/>
      <c r="AM56" s="29"/>
      <c r="AN56" s="29"/>
      <c r="AO56" s="29"/>
      <c r="AP56" s="29"/>
      <c r="AQ56" s="29"/>
      <c r="AR56" s="29"/>
      <c r="AS56" s="29"/>
      <c r="AT56" s="29"/>
      <c r="AU56" s="33"/>
      <c r="AV56" s="33"/>
      <c r="AW56" s="33">
        <f t="shared" si="11"/>
        <v>2627538</v>
      </c>
      <c r="AX56" s="33"/>
      <c r="AY56" s="33"/>
      <c r="AZ56" s="29"/>
      <c r="BA56" s="29"/>
      <c r="BB56" s="29"/>
      <c r="BC56" s="29"/>
      <c r="BD56" s="29">
        <f>20000</f>
        <v>20000</v>
      </c>
      <c r="BE56" s="29"/>
      <c r="BF56" s="29"/>
      <c r="BG56" s="29"/>
      <c r="BH56" s="33">
        <f t="shared" ref="BH56:BH65" si="18">SUM(AX56:BG56)</f>
        <v>20000</v>
      </c>
      <c r="BI56" s="29"/>
    </row>
    <row r="57" spans="1:61" ht="70.5" customHeight="1" x14ac:dyDescent="0.8">
      <c r="A57" s="12" t="s">
        <v>116</v>
      </c>
      <c r="B57" s="13" t="s">
        <v>117</v>
      </c>
      <c r="C57" s="29"/>
      <c r="D57" s="29">
        <v>1062800</v>
      </c>
      <c r="E57" s="29"/>
      <c r="F57" s="29"/>
      <c r="G57" s="29"/>
      <c r="H57" s="29"/>
      <c r="I57" s="29"/>
      <c r="J57" s="33">
        <f t="shared" si="17"/>
        <v>0</v>
      </c>
      <c r="K57" s="29"/>
      <c r="L57" s="29"/>
      <c r="M57" s="29"/>
      <c r="N57" s="29"/>
      <c r="O57" s="29"/>
      <c r="P57" s="29">
        <v>197814</v>
      </c>
      <c r="Q57" s="29"/>
      <c r="R57" s="29"/>
      <c r="S57" s="33"/>
      <c r="T57" s="33">
        <f t="shared" si="16"/>
        <v>1072018.75</v>
      </c>
      <c r="U57" s="29">
        <f>267100</f>
        <v>267100</v>
      </c>
      <c r="V57" s="29"/>
      <c r="W57" s="29">
        <f>77333</f>
        <v>77333</v>
      </c>
      <c r="X57" s="29"/>
      <c r="Y57" s="29"/>
      <c r="Z57" s="29"/>
      <c r="AA57" s="29">
        <f>727585.75</f>
        <v>727585.75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>
        <v>300000</v>
      </c>
      <c r="AL57" s="29"/>
      <c r="AM57" s="29"/>
      <c r="AN57" s="29"/>
      <c r="AO57" s="29"/>
      <c r="AP57" s="29"/>
      <c r="AQ57" s="29"/>
      <c r="AR57" s="29"/>
      <c r="AS57" s="29"/>
      <c r="AT57" s="29"/>
      <c r="AU57" s="33"/>
      <c r="AV57" s="33"/>
      <c r="AW57" s="33">
        <f t="shared" si="11"/>
        <v>2632632.75</v>
      </c>
      <c r="AX57" s="33"/>
      <c r="AY57" s="33"/>
      <c r="AZ57" s="29"/>
      <c r="BA57" s="29"/>
      <c r="BB57" s="29"/>
      <c r="BC57" s="29"/>
      <c r="BD57" s="29"/>
      <c r="BE57" s="29"/>
      <c r="BF57" s="29"/>
      <c r="BG57" s="29"/>
      <c r="BH57" s="33">
        <f t="shared" si="18"/>
        <v>0</v>
      </c>
      <c r="BI57" s="29"/>
    </row>
    <row r="58" spans="1:61" ht="70.5" customHeight="1" x14ac:dyDescent="0.8">
      <c r="A58" s="12" t="s">
        <v>118</v>
      </c>
      <c r="B58" s="13" t="s">
        <v>119</v>
      </c>
      <c r="C58" s="29"/>
      <c r="D58" s="29">
        <v>377600</v>
      </c>
      <c r="E58" s="29"/>
      <c r="F58" s="29"/>
      <c r="G58" s="29"/>
      <c r="H58" s="29"/>
      <c r="I58" s="29"/>
      <c r="J58" s="33">
        <f t="shared" si="17"/>
        <v>0</v>
      </c>
      <c r="K58" s="29"/>
      <c r="L58" s="29"/>
      <c r="M58" s="29"/>
      <c r="N58" s="29"/>
      <c r="O58" s="29"/>
      <c r="P58" s="29"/>
      <c r="Q58" s="29"/>
      <c r="R58" s="29"/>
      <c r="S58" s="33"/>
      <c r="T58" s="33">
        <f t="shared" si="16"/>
        <v>15467</v>
      </c>
      <c r="U58" s="29"/>
      <c r="V58" s="29"/>
      <c r="W58" s="29">
        <f>15467</f>
        <v>15467</v>
      </c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>
        <v>17500</v>
      </c>
      <c r="AL58" s="29"/>
      <c r="AM58" s="29"/>
      <c r="AN58" s="29"/>
      <c r="AO58" s="29"/>
      <c r="AP58" s="29"/>
      <c r="AQ58" s="29"/>
      <c r="AR58" s="29"/>
      <c r="AS58" s="29"/>
      <c r="AT58" s="29"/>
      <c r="AU58" s="33"/>
      <c r="AV58" s="33"/>
      <c r="AW58" s="33">
        <f t="shared" si="11"/>
        <v>410567</v>
      </c>
      <c r="AX58" s="33"/>
      <c r="AY58" s="33"/>
      <c r="AZ58" s="29"/>
      <c r="BA58" s="29"/>
      <c r="BB58" s="29"/>
      <c r="BC58" s="29"/>
      <c r="BD58" s="29">
        <f>2200</f>
        <v>2200</v>
      </c>
      <c r="BE58" s="29"/>
      <c r="BF58" s="29"/>
      <c r="BG58" s="29"/>
      <c r="BH58" s="33">
        <f t="shared" si="18"/>
        <v>2200</v>
      </c>
      <c r="BI58" s="29"/>
    </row>
    <row r="59" spans="1:61" ht="70.5" customHeight="1" x14ac:dyDescent="0.8">
      <c r="A59" s="12" t="s">
        <v>166</v>
      </c>
      <c r="B59" s="13" t="s">
        <v>167</v>
      </c>
      <c r="C59" s="29"/>
      <c r="D59" s="29">
        <v>422900</v>
      </c>
      <c r="E59" s="29"/>
      <c r="F59" s="29"/>
      <c r="G59" s="29"/>
      <c r="H59" s="29"/>
      <c r="I59" s="29"/>
      <c r="J59" s="33">
        <f t="shared" si="17"/>
        <v>0</v>
      </c>
      <c r="K59" s="29"/>
      <c r="L59" s="29"/>
      <c r="M59" s="29"/>
      <c r="N59" s="29"/>
      <c r="O59" s="29"/>
      <c r="P59" s="29"/>
      <c r="Q59" s="29"/>
      <c r="R59" s="29"/>
      <c r="S59" s="33"/>
      <c r="T59" s="33">
        <f t="shared" si="16"/>
        <v>30933</v>
      </c>
      <c r="U59" s="29"/>
      <c r="V59" s="29"/>
      <c r="W59" s="29">
        <f>30933</f>
        <v>30933</v>
      </c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>
        <v>17500</v>
      </c>
      <c r="AL59" s="33"/>
      <c r="AM59" s="29"/>
      <c r="AN59" s="29"/>
      <c r="AO59" s="29"/>
      <c r="AP59" s="29"/>
      <c r="AQ59" s="29"/>
      <c r="AR59" s="29"/>
      <c r="AS59" s="29"/>
      <c r="AT59" s="29"/>
      <c r="AU59" s="33"/>
      <c r="AV59" s="33"/>
      <c r="AW59" s="33">
        <f t="shared" si="11"/>
        <v>471333</v>
      </c>
      <c r="AX59" s="33"/>
      <c r="AY59" s="33"/>
      <c r="AZ59" s="29"/>
      <c r="BA59" s="29"/>
      <c r="BB59" s="29"/>
      <c r="BC59" s="29"/>
      <c r="BD59" s="29">
        <v>3700</v>
      </c>
      <c r="BE59" s="29"/>
      <c r="BF59" s="29"/>
      <c r="BG59" s="29"/>
      <c r="BH59" s="33">
        <f t="shared" si="18"/>
        <v>3700</v>
      </c>
      <c r="BI59" s="29"/>
    </row>
    <row r="60" spans="1:61" ht="70.5" customHeight="1" x14ac:dyDescent="0.8">
      <c r="A60" s="12" t="s">
        <v>120</v>
      </c>
      <c r="B60" s="13" t="s">
        <v>121</v>
      </c>
      <c r="C60" s="29"/>
      <c r="D60" s="29">
        <v>474900</v>
      </c>
      <c r="E60" s="29"/>
      <c r="F60" s="29"/>
      <c r="G60" s="29"/>
      <c r="H60" s="29"/>
      <c r="I60" s="29"/>
      <c r="J60" s="33">
        <f t="shared" si="17"/>
        <v>0</v>
      </c>
      <c r="K60" s="29"/>
      <c r="L60" s="29"/>
      <c r="M60" s="29"/>
      <c r="N60" s="29"/>
      <c r="O60" s="29"/>
      <c r="P60" s="29"/>
      <c r="Q60" s="29"/>
      <c r="R60" s="29"/>
      <c r="S60" s="33"/>
      <c r="T60" s="33">
        <f t="shared" si="16"/>
        <v>46400</v>
      </c>
      <c r="U60" s="29"/>
      <c r="V60" s="29"/>
      <c r="W60" s="29">
        <f>46400</f>
        <v>46400</v>
      </c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>
        <v>15000</v>
      </c>
      <c r="AL60" s="29"/>
      <c r="AM60" s="29"/>
      <c r="AN60" s="29"/>
      <c r="AO60" s="29"/>
      <c r="AP60" s="29"/>
      <c r="AQ60" s="29"/>
      <c r="AR60" s="29"/>
      <c r="AS60" s="29"/>
      <c r="AT60" s="29"/>
      <c r="AU60" s="33"/>
      <c r="AV60" s="33"/>
      <c r="AW60" s="33">
        <f t="shared" si="11"/>
        <v>536300</v>
      </c>
      <c r="AX60" s="33"/>
      <c r="AY60" s="33"/>
      <c r="AZ60" s="29"/>
      <c r="BA60" s="29"/>
      <c r="BB60" s="29"/>
      <c r="BC60" s="29"/>
      <c r="BD60" s="29">
        <v>5000</v>
      </c>
      <c r="BE60" s="29"/>
      <c r="BF60" s="29"/>
      <c r="BG60" s="29"/>
      <c r="BH60" s="33">
        <f t="shared" si="18"/>
        <v>5000</v>
      </c>
      <c r="BI60" s="29"/>
    </row>
    <row r="61" spans="1:61" ht="70.5" customHeight="1" x14ac:dyDescent="0.8">
      <c r="A61" s="12" t="s">
        <v>122</v>
      </c>
      <c r="B61" s="13" t="s">
        <v>123</v>
      </c>
      <c r="C61" s="29"/>
      <c r="D61" s="29">
        <v>325400</v>
      </c>
      <c r="E61" s="29"/>
      <c r="F61" s="29"/>
      <c r="G61" s="29"/>
      <c r="H61" s="29"/>
      <c r="I61" s="29"/>
      <c r="J61" s="33">
        <f t="shared" si="17"/>
        <v>0</v>
      </c>
      <c r="K61" s="29"/>
      <c r="L61" s="29"/>
      <c r="M61" s="29"/>
      <c r="N61" s="29"/>
      <c r="O61" s="29"/>
      <c r="P61" s="29">
        <v>211646</v>
      </c>
      <c r="Q61" s="29"/>
      <c r="R61" s="29"/>
      <c r="S61" s="33"/>
      <c r="T61" s="33">
        <f t="shared" si="16"/>
        <v>77333</v>
      </c>
      <c r="U61" s="29"/>
      <c r="V61" s="29"/>
      <c r="W61" s="29">
        <f>77333</f>
        <v>77333</v>
      </c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>
        <v>250000</v>
      </c>
      <c r="AL61" s="29"/>
      <c r="AM61" s="29"/>
      <c r="AN61" s="29"/>
      <c r="AO61" s="29"/>
      <c r="AP61" s="29"/>
      <c r="AQ61" s="29"/>
      <c r="AR61" s="29"/>
      <c r="AS61" s="29"/>
      <c r="AT61" s="29"/>
      <c r="AU61" s="33"/>
      <c r="AV61" s="33"/>
      <c r="AW61" s="33">
        <f t="shared" si="11"/>
        <v>864379</v>
      </c>
      <c r="AX61" s="33"/>
      <c r="AY61" s="33"/>
      <c r="AZ61" s="29"/>
      <c r="BA61" s="29"/>
      <c r="BB61" s="29"/>
      <c r="BC61" s="29"/>
      <c r="BD61" s="29">
        <v>11200</v>
      </c>
      <c r="BE61" s="29"/>
      <c r="BF61" s="29"/>
      <c r="BG61" s="29"/>
      <c r="BH61" s="33">
        <f t="shared" si="18"/>
        <v>11200</v>
      </c>
      <c r="BI61" s="29"/>
    </row>
    <row r="62" spans="1:61" ht="70.5" customHeight="1" x14ac:dyDescent="0.8">
      <c r="A62" s="12" t="s">
        <v>124</v>
      </c>
      <c r="B62" s="13" t="s">
        <v>125</v>
      </c>
      <c r="C62" s="29"/>
      <c r="D62" s="29">
        <v>678100</v>
      </c>
      <c r="E62" s="29"/>
      <c r="F62" s="29"/>
      <c r="G62" s="29"/>
      <c r="H62" s="29"/>
      <c r="I62" s="29"/>
      <c r="J62" s="33">
        <f t="shared" si="17"/>
        <v>0</v>
      </c>
      <c r="K62" s="29"/>
      <c r="L62" s="29"/>
      <c r="M62" s="29"/>
      <c r="N62" s="29"/>
      <c r="O62" s="29"/>
      <c r="P62" s="29"/>
      <c r="Q62" s="29"/>
      <c r="R62" s="29"/>
      <c r="S62" s="33"/>
      <c r="T62" s="33">
        <f t="shared" si="16"/>
        <v>46400</v>
      </c>
      <c r="U62" s="29"/>
      <c r="V62" s="29"/>
      <c r="W62" s="29">
        <f>46400</f>
        <v>46400</v>
      </c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>
        <v>30000</v>
      </c>
      <c r="AL62" s="29"/>
      <c r="AM62" s="29"/>
      <c r="AN62" s="29"/>
      <c r="AO62" s="29"/>
      <c r="AP62" s="29"/>
      <c r="AQ62" s="29"/>
      <c r="AR62" s="29"/>
      <c r="AS62" s="29"/>
      <c r="AT62" s="29"/>
      <c r="AU62" s="33"/>
      <c r="AV62" s="33"/>
      <c r="AW62" s="33">
        <f t="shared" si="11"/>
        <v>754500</v>
      </c>
      <c r="AX62" s="33"/>
      <c r="AY62" s="33"/>
      <c r="AZ62" s="29"/>
      <c r="BA62" s="29"/>
      <c r="BB62" s="29"/>
      <c r="BC62" s="29"/>
      <c r="BD62" s="29">
        <v>4300</v>
      </c>
      <c r="BE62" s="29"/>
      <c r="BF62" s="29"/>
      <c r="BG62" s="29"/>
      <c r="BH62" s="33">
        <f t="shared" si="18"/>
        <v>4300</v>
      </c>
      <c r="BI62" s="29"/>
    </row>
    <row r="63" spans="1:61" ht="70.5" customHeight="1" x14ac:dyDescent="0.8">
      <c r="A63" s="12" t="s">
        <v>126</v>
      </c>
      <c r="B63" s="13" t="s">
        <v>127</v>
      </c>
      <c r="C63" s="29"/>
      <c r="D63" s="29">
        <v>1906600</v>
      </c>
      <c r="E63" s="29"/>
      <c r="F63" s="29"/>
      <c r="G63" s="29"/>
      <c r="H63" s="29"/>
      <c r="I63" s="29"/>
      <c r="J63" s="33">
        <f t="shared" si="17"/>
        <v>0</v>
      </c>
      <c r="K63" s="29"/>
      <c r="L63" s="29"/>
      <c r="M63" s="29"/>
      <c r="N63" s="29"/>
      <c r="O63" s="29"/>
      <c r="P63" s="29"/>
      <c r="Q63" s="29"/>
      <c r="R63" s="29"/>
      <c r="S63" s="33"/>
      <c r="T63" s="33">
        <f t="shared" si="16"/>
        <v>554665</v>
      </c>
      <c r="U63" s="29"/>
      <c r="V63" s="29"/>
      <c r="W63" s="29">
        <f>154665</f>
        <v>154665</v>
      </c>
      <c r="X63" s="29">
        <f>400000</f>
        <v>400000</v>
      </c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>
        <f>350000+30000</f>
        <v>380000</v>
      </c>
      <c r="AL63" s="29"/>
      <c r="AM63" s="29"/>
      <c r="AN63" s="29"/>
      <c r="AO63" s="29"/>
      <c r="AP63" s="29"/>
      <c r="AQ63" s="29"/>
      <c r="AR63" s="29"/>
      <c r="AS63" s="29"/>
      <c r="AT63" s="29"/>
      <c r="AU63" s="33"/>
      <c r="AV63" s="33"/>
      <c r="AW63" s="33">
        <f t="shared" si="11"/>
        <v>2841265</v>
      </c>
      <c r="AX63" s="33"/>
      <c r="AY63" s="33"/>
      <c r="AZ63" s="29"/>
      <c r="BA63" s="29"/>
      <c r="BB63" s="29"/>
      <c r="BC63" s="29"/>
      <c r="BD63" s="29">
        <v>14100</v>
      </c>
      <c r="BE63" s="29"/>
      <c r="BF63" s="29"/>
      <c r="BG63" s="29"/>
      <c r="BH63" s="33">
        <f t="shared" si="18"/>
        <v>14100</v>
      </c>
      <c r="BI63" s="29"/>
    </row>
    <row r="64" spans="1:61" ht="70.5" customHeight="1" x14ac:dyDescent="0.8">
      <c r="A64" s="12" t="s">
        <v>128</v>
      </c>
      <c r="B64" s="13" t="s">
        <v>129</v>
      </c>
      <c r="C64" s="29"/>
      <c r="D64" s="29">
        <v>350000</v>
      </c>
      <c r="E64" s="29"/>
      <c r="F64" s="29"/>
      <c r="G64" s="29"/>
      <c r="H64" s="29"/>
      <c r="I64" s="29"/>
      <c r="J64" s="33">
        <f t="shared" si="17"/>
        <v>0</v>
      </c>
      <c r="K64" s="29"/>
      <c r="L64" s="29"/>
      <c r="M64" s="29"/>
      <c r="N64" s="29"/>
      <c r="O64" s="29"/>
      <c r="P64" s="29">
        <v>254324</v>
      </c>
      <c r="Q64" s="29"/>
      <c r="R64" s="29"/>
      <c r="S64" s="33"/>
      <c r="T64" s="33">
        <f t="shared" si="16"/>
        <v>46400</v>
      </c>
      <c r="U64" s="29"/>
      <c r="V64" s="29"/>
      <c r="W64" s="29">
        <f>46400</f>
        <v>46400</v>
      </c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>
        <v>250000</v>
      </c>
      <c r="AL64" s="29"/>
      <c r="AM64" s="29"/>
      <c r="AN64" s="29"/>
      <c r="AO64" s="29"/>
      <c r="AP64" s="29"/>
      <c r="AQ64" s="29"/>
      <c r="AR64" s="29"/>
      <c r="AS64" s="29"/>
      <c r="AT64" s="29"/>
      <c r="AU64" s="33"/>
      <c r="AV64" s="33"/>
      <c r="AW64" s="33">
        <f t="shared" si="11"/>
        <v>900724</v>
      </c>
      <c r="AX64" s="33"/>
      <c r="AY64" s="33"/>
      <c r="AZ64" s="29"/>
      <c r="BA64" s="29"/>
      <c r="BB64" s="29"/>
      <c r="BC64" s="29"/>
      <c r="BD64" s="29">
        <v>12000</v>
      </c>
      <c r="BE64" s="29"/>
      <c r="BF64" s="29"/>
      <c r="BG64" s="29"/>
      <c r="BH64" s="33">
        <f t="shared" si="18"/>
        <v>12000</v>
      </c>
      <c r="BI64" s="29"/>
    </row>
    <row r="65" spans="1:61" ht="70.5" customHeight="1" x14ac:dyDescent="0.8">
      <c r="A65" s="12" t="s">
        <v>130</v>
      </c>
      <c r="B65" s="13" t="s">
        <v>199</v>
      </c>
      <c r="C65" s="29"/>
      <c r="D65" s="29">
        <v>853000</v>
      </c>
      <c r="E65" s="29"/>
      <c r="F65" s="29"/>
      <c r="G65" s="29"/>
      <c r="H65" s="29"/>
      <c r="I65" s="29"/>
      <c r="J65" s="33"/>
      <c r="K65" s="29"/>
      <c r="L65" s="29"/>
      <c r="M65" s="29"/>
      <c r="N65" s="29"/>
      <c r="O65" s="29"/>
      <c r="P65" s="29"/>
      <c r="Q65" s="29"/>
      <c r="R65" s="29"/>
      <c r="S65" s="33"/>
      <c r="T65" s="33">
        <f t="shared" si="16"/>
        <v>108266</v>
      </c>
      <c r="U65" s="29"/>
      <c r="V65" s="29"/>
      <c r="W65" s="29">
        <f>108266</f>
        <v>108266</v>
      </c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33"/>
      <c r="AV65" s="33"/>
      <c r="AW65" s="33">
        <f t="shared" si="11"/>
        <v>961266</v>
      </c>
      <c r="AX65" s="33"/>
      <c r="AY65" s="33"/>
      <c r="AZ65" s="29"/>
      <c r="BA65" s="29"/>
      <c r="BB65" s="29">
        <v>15000000</v>
      </c>
      <c r="BC65" s="29"/>
      <c r="BD65" s="29">
        <v>14400</v>
      </c>
      <c r="BE65" s="29"/>
      <c r="BF65" s="29"/>
      <c r="BG65" s="29"/>
      <c r="BH65" s="33">
        <f t="shared" si="18"/>
        <v>15014400</v>
      </c>
      <c r="BI65" s="29"/>
    </row>
    <row r="66" spans="1:61" ht="70.5" customHeight="1" x14ac:dyDescent="0.8">
      <c r="A66" s="12" t="s">
        <v>233</v>
      </c>
      <c r="B66" s="13" t="s">
        <v>234</v>
      </c>
      <c r="C66" s="29"/>
      <c r="D66" s="29">
        <v>356000</v>
      </c>
      <c r="E66" s="29"/>
      <c r="F66" s="29"/>
      <c r="G66" s="29"/>
      <c r="H66" s="29"/>
      <c r="I66" s="29"/>
      <c r="J66" s="33"/>
      <c r="K66" s="29"/>
      <c r="L66" s="29"/>
      <c r="M66" s="29"/>
      <c r="N66" s="29"/>
      <c r="O66" s="29"/>
      <c r="P66" s="29"/>
      <c r="Q66" s="29"/>
      <c r="R66" s="29"/>
      <c r="S66" s="33"/>
      <c r="T66" s="33">
        <f t="shared" si="16"/>
        <v>30933</v>
      </c>
      <c r="U66" s="29"/>
      <c r="V66" s="29"/>
      <c r="W66" s="29">
        <f>30933</f>
        <v>30933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>
        <v>70000</v>
      </c>
      <c r="AL66" s="29"/>
      <c r="AM66" s="29"/>
      <c r="AN66" s="29"/>
      <c r="AO66" s="29"/>
      <c r="AP66" s="29"/>
      <c r="AQ66" s="29"/>
      <c r="AR66" s="29"/>
      <c r="AS66" s="29"/>
      <c r="AT66" s="29"/>
      <c r="AU66" s="33"/>
      <c r="AV66" s="33"/>
      <c r="AW66" s="33">
        <f t="shared" si="11"/>
        <v>456933</v>
      </c>
      <c r="AX66" s="33"/>
      <c r="AY66" s="33"/>
      <c r="AZ66" s="29"/>
      <c r="BA66" s="29"/>
      <c r="BB66" s="29"/>
      <c r="BC66" s="29"/>
      <c r="BD66" s="29">
        <v>3468</v>
      </c>
      <c r="BE66" s="29"/>
      <c r="BF66" s="29"/>
      <c r="BG66" s="29"/>
      <c r="BH66" s="33"/>
      <c r="BI66" s="29"/>
    </row>
    <row r="67" spans="1:61" ht="70.5" customHeight="1" x14ac:dyDescent="0.8">
      <c r="A67" s="12" t="s">
        <v>131</v>
      </c>
      <c r="B67" s="13" t="s">
        <v>132</v>
      </c>
      <c r="C67" s="29"/>
      <c r="D67" s="29">
        <v>447600</v>
      </c>
      <c r="E67" s="29"/>
      <c r="F67" s="29"/>
      <c r="G67" s="29"/>
      <c r="H67" s="29"/>
      <c r="I67" s="29"/>
      <c r="J67" s="33">
        <f>K67</f>
        <v>0</v>
      </c>
      <c r="K67" s="29"/>
      <c r="L67" s="29"/>
      <c r="M67" s="29"/>
      <c r="N67" s="29"/>
      <c r="O67" s="29"/>
      <c r="P67" s="29"/>
      <c r="Q67" s="29"/>
      <c r="R67" s="29"/>
      <c r="S67" s="33"/>
      <c r="T67" s="33">
        <f t="shared" si="16"/>
        <v>46400</v>
      </c>
      <c r="U67" s="29"/>
      <c r="V67" s="29"/>
      <c r="W67" s="29">
        <f>46400</f>
        <v>46400</v>
      </c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>
        <v>50000</v>
      </c>
      <c r="AL67" s="29"/>
      <c r="AM67" s="29"/>
      <c r="AN67" s="29"/>
      <c r="AO67" s="29"/>
      <c r="AP67" s="29"/>
      <c r="AQ67" s="29"/>
      <c r="AR67" s="29"/>
      <c r="AS67" s="29"/>
      <c r="AT67" s="29"/>
      <c r="AU67" s="33"/>
      <c r="AV67" s="33"/>
      <c r="AW67" s="33">
        <f t="shared" si="11"/>
        <v>544000</v>
      </c>
      <c r="AX67" s="33"/>
      <c r="AY67" s="33"/>
      <c r="AZ67" s="29"/>
      <c r="BA67" s="29"/>
      <c r="BB67" s="29"/>
      <c r="BC67" s="29"/>
      <c r="BD67" s="29"/>
      <c r="BE67" s="29"/>
      <c r="BF67" s="29"/>
      <c r="BG67" s="29"/>
      <c r="BH67" s="33">
        <f>SUM(AX67:BG67)</f>
        <v>0</v>
      </c>
      <c r="BI67" s="29"/>
    </row>
    <row r="68" spans="1:61" ht="70.5" customHeight="1" x14ac:dyDescent="0.8">
      <c r="A68" s="12" t="s">
        <v>133</v>
      </c>
      <c r="B68" s="13" t="s">
        <v>134</v>
      </c>
      <c r="C68" s="29"/>
      <c r="D68" s="29">
        <v>896000</v>
      </c>
      <c r="E68" s="29"/>
      <c r="F68" s="29"/>
      <c r="G68" s="29"/>
      <c r="H68" s="29"/>
      <c r="I68" s="29"/>
      <c r="J68" s="33">
        <f>K68</f>
        <v>0</v>
      </c>
      <c r="K68" s="29"/>
      <c r="L68" s="29"/>
      <c r="M68" s="29"/>
      <c r="N68" s="29"/>
      <c r="O68" s="29"/>
      <c r="P68" s="29">
        <v>109534</v>
      </c>
      <c r="Q68" s="29"/>
      <c r="R68" s="29"/>
      <c r="S68" s="33"/>
      <c r="T68" s="33">
        <f t="shared" si="16"/>
        <v>61866</v>
      </c>
      <c r="U68" s="29"/>
      <c r="V68" s="29"/>
      <c r="W68" s="29">
        <f>61866</f>
        <v>61866</v>
      </c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>
        <v>50000</v>
      </c>
      <c r="AL68" s="29"/>
      <c r="AM68" s="29"/>
      <c r="AN68" s="29"/>
      <c r="AO68" s="29"/>
      <c r="AP68" s="29"/>
      <c r="AQ68" s="29"/>
      <c r="AR68" s="29"/>
      <c r="AS68" s="29"/>
      <c r="AT68" s="29"/>
      <c r="AU68" s="33"/>
      <c r="AV68" s="33"/>
      <c r="AW68" s="33">
        <f t="shared" si="11"/>
        <v>1117400</v>
      </c>
      <c r="AX68" s="33"/>
      <c r="AY68" s="33"/>
      <c r="AZ68" s="29"/>
      <c r="BA68" s="29"/>
      <c r="BB68" s="29"/>
      <c r="BC68" s="29"/>
      <c r="BD68" s="29">
        <f>7000-1200</f>
        <v>5800</v>
      </c>
      <c r="BE68" s="29"/>
      <c r="BF68" s="29"/>
      <c r="BG68" s="29"/>
      <c r="BH68" s="33">
        <f>SUM(AX68:BG68)</f>
        <v>5800</v>
      </c>
      <c r="BI68" s="29"/>
    </row>
    <row r="69" spans="1:61" ht="70.5" customHeight="1" x14ac:dyDescent="0.8">
      <c r="A69" s="12" t="s">
        <v>135</v>
      </c>
      <c r="B69" s="13" t="s">
        <v>136</v>
      </c>
      <c r="C69" s="29"/>
      <c r="D69" s="29">
        <v>1692700</v>
      </c>
      <c r="E69" s="29"/>
      <c r="F69" s="29"/>
      <c r="G69" s="29"/>
      <c r="H69" s="29"/>
      <c r="I69" s="29"/>
      <c r="J69" s="33">
        <f>K69</f>
        <v>0</v>
      </c>
      <c r="K69" s="29"/>
      <c r="L69" s="29"/>
      <c r="M69" s="29"/>
      <c r="N69" s="29">
        <v>734624</v>
      </c>
      <c r="O69" s="29">
        <f>110777</f>
        <v>110777</v>
      </c>
      <c r="P69" s="29"/>
      <c r="Q69" s="29"/>
      <c r="R69" s="29"/>
      <c r="S69" s="33"/>
      <c r="T69" s="33">
        <f t="shared" si="16"/>
        <v>1494165</v>
      </c>
      <c r="U69" s="29"/>
      <c r="V69" s="29">
        <f>1339500</f>
        <v>1339500</v>
      </c>
      <c r="W69" s="29">
        <f>154665</f>
        <v>154665</v>
      </c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>
        <v>50000</v>
      </c>
      <c r="AL69" s="29"/>
      <c r="AM69" s="29"/>
      <c r="AN69" s="29"/>
      <c r="AO69" s="29"/>
      <c r="AP69" s="29"/>
      <c r="AQ69" s="29"/>
      <c r="AR69" s="29"/>
      <c r="AS69" s="29"/>
      <c r="AT69" s="29"/>
      <c r="AU69" s="33"/>
      <c r="AV69" s="33"/>
      <c r="AW69" s="33">
        <f t="shared" si="11"/>
        <v>4082266</v>
      </c>
      <c r="AX69" s="33"/>
      <c r="AY69" s="33"/>
      <c r="AZ69" s="29"/>
      <c r="BA69" s="29"/>
      <c r="BB69" s="29"/>
      <c r="BC69" s="29"/>
      <c r="BD69" s="29">
        <v>16700</v>
      </c>
      <c r="BE69" s="29"/>
      <c r="BF69" s="29"/>
      <c r="BG69" s="29"/>
      <c r="BH69" s="33">
        <f>SUM(AX69:BG69)</f>
        <v>16700</v>
      </c>
      <c r="BI69" s="29"/>
    </row>
    <row r="70" spans="1:61" ht="70.5" customHeight="1" x14ac:dyDescent="0.8">
      <c r="A70" s="12" t="s">
        <v>203</v>
      </c>
      <c r="B70" s="13" t="s">
        <v>204</v>
      </c>
      <c r="C70" s="29"/>
      <c r="D70" s="29">
        <v>421200</v>
      </c>
      <c r="E70" s="29"/>
      <c r="F70" s="29"/>
      <c r="G70" s="29"/>
      <c r="H70" s="29"/>
      <c r="I70" s="29"/>
      <c r="J70" s="33"/>
      <c r="K70" s="29"/>
      <c r="L70" s="29"/>
      <c r="M70" s="29"/>
      <c r="N70" s="29"/>
      <c r="O70" s="29"/>
      <c r="P70" s="29"/>
      <c r="Q70" s="29"/>
      <c r="R70" s="29"/>
      <c r="S70" s="33"/>
      <c r="T70" s="33">
        <f t="shared" si="16"/>
        <v>30933</v>
      </c>
      <c r="U70" s="29"/>
      <c r="V70" s="29"/>
      <c r="W70" s="29">
        <f>30933</f>
        <v>30933</v>
      </c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33"/>
      <c r="AV70" s="33"/>
      <c r="AW70" s="33">
        <f t="shared" si="11"/>
        <v>452133</v>
      </c>
      <c r="AX70" s="33"/>
      <c r="AY70" s="33"/>
      <c r="AZ70" s="29"/>
      <c r="BA70" s="29"/>
      <c r="BB70" s="29"/>
      <c r="BC70" s="29"/>
      <c r="BD70" s="29">
        <v>3900</v>
      </c>
      <c r="BE70" s="29"/>
      <c r="BF70" s="29"/>
      <c r="BG70" s="29"/>
      <c r="BH70" s="33">
        <f>SUM(AX70:BG70)</f>
        <v>3900</v>
      </c>
      <c r="BI70" s="29"/>
    </row>
    <row r="71" spans="1:61" ht="70.5" customHeight="1" x14ac:dyDescent="0.8">
      <c r="A71" s="12" t="s">
        <v>137</v>
      </c>
      <c r="B71" s="13" t="s">
        <v>138</v>
      </c>
      <c r="C71" s="29"/>
      <c r="D71" s="29">
        <v>1258500</v>
      </c>
      <c r="E71" s="29"/>
      <c r="F71" s="29"/>
      <c r="G71" s="29"/>
      <c r="H71" s="29"/>
      <c r="I71" s="29"/>
      <c r="J71" s="33">
        <f>K71</f>
        <v>0</v>
      </c>
      <c r="K71" s="29"/>
      <c r="L71" s="29"/>
      <c r="M71" s="29"/>
      <c r="N71" s="29"/>
      <c r="O71" s="29"/>
      <c r="P71" s="29">
        <f>124041</f>
        <v>124041</v>
      </c>
      <c r="Q71" s="29"/>
      <c r="R71" s="29"/>
      <c r="S71" s="33"/>
      <c r="T71" s="33">
        <f t="shared" si="16"/>
        <v>92799</v>
      </c>
      <c r="U71" s="29"/>
      <c r="V71" s="29"/>
      <c r="W71" s="29">
        <f>92799</f>
        <v>92799</v>
      </c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>
        <v>150000</v>
      </c>
      <c r="AL71" s="29"/>
      <c r="AM71" s="29"/>
      <c r="AN71" s="29"/>
      <c r="AO71" s="29"/>
      <c r="AP71" s="29"/>
      <c r="AQ71" s="29"/>
      <c r="AR71" s="29"/>
      <c r="AS71" s="29"/>
      <c r="AT71" s="29"/>
      <c r="AU71" s="33"/>
      <c r="AV71" s="33"/>
      <c r="AW71" s="33">
        <f t="shared" si="11"/>
        <v>1625340</v>
      </c>
      <c r="AX71" s="33"/>
      <c r="AY71" s="33"/>
      <c r="AZ71" s="29"/>
      <c r="BA71" s="29"/>
      <c r="BB71" s="29"/>
      <c r="BC71" s="29"/>
      <c r="BD71" s="29">
        <f>8831</f>
        <v>8831</v>
      </c>
      <c r="BE71" s="29"/>
      <c r="BF71" s="29"/>
      <c r="BG71" s="29"/>
      <c r="BH71" s="33">
        <f>SUM(AX71:BG71)</f>
        <v>8831</v>
      </c>
      <c r="BI71" s="29"/>
    </row>
    <row r="72" spans="1:61" ht="70.5" customHeight="1" x14ac:dyDescent="0.8">
      <c r="A72" s="12" t="s">
        <v>258</v>
      </c>
      <c r="B72" s="13" t="s">
        <v>259</v>
      </c>
      <c r="C72" s="29"/>
      <c r="D72" s="29">
        <v>624900</v>
      </c>
      <c r="E72" s="29"/>
      <c r="F72" s="29"/>
      <c r="G72" s="29"/>
      <c r="H72" s="29"/>
      <c r="I72" s="29"/>
      <c r="J72" s="33"/>
      <c r="K72" s="29"/>
      <c r="L72" s="29"/>
      <c r="M72" s="29"/>
      <c r="N72" s="29"/>
      <c r="O72" s="29"/>
      <c r="P72" s="29"/>
      <c r="Q72" s="29"/>
      <c r="R72" s="29"/>
      <c r="S72" s="33"/>
      <c r="T72" s="33">
        <f t="shared" si="16"/>
        <v>1370433</v>
      </c>
      <c r="U72" s="29"/>
      <c r="V72" s="29">
        <v>1339500</v>
      </c>
      <c r="W72" s="29">
        <f>30933</f>
        <v>30933</v>
      </c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33"/>
      <c r="AV72" s="33"/>
      <c r="AW72" s="33">
        <f t="shared" si="11"/>
        <v>1995333</v>
      </c>
      <c r="AX72" s="33"/>
      <c r="AY72" s="33"/>
      <c r="AZ72" s="29"/>
      <c r="BA72" s="29"/>
      <c r="BB72" s="29"/>
      <c r="BC72" s="29"/>
      <c r="BD72" s="29"/>
      <c r="BE72" s="29"/>
      <c r="BF72" s="29"/>
      <c r="BG72" s="29"/>
      <c r="BH72" s="33"/>
      <c r="BI72" s="29"/>
    </row>
    <row r="73" spans="1:61" ht="70.5" customHeight="1" x14ac:dyDescent="0.8">
      <c r="A73" s="12" t="s">
        <v>256</v>
      </c>
      <c r="B73" s="13" t="s">
        <v>257</v>
      </c>
      <c r="C73" s="29"/>
      <c r="D73" s="29">
        <v>2353400</v>
      </c>
      <c r="E73" s="29"/>
      <c r="F73" s="29"/>
      <c r="G73" s="29"/>
      <c r="H73" s="29"/>
      <c r="I73" s="29"/>
      <c r="J73" s="33"/>
      <c r="K73" s="29"/>
      <c r="L73" s="29"/>
      <c r="M73" s="29"/>
      <c r="N73" s="29"/>
      <c r="O73" s="29"/>
      <c r="P73" s="29"/>
      <c r="Q73" s="29"/>
      <c r="R73" s="29"/>
      <c r="S73" s="33"/>
      <c r="T73" s="33">
        <f t="shared" si="16"/>
        <v>1509632</v>
      </c>
      <c r="U73" s="29"/>
      <c r="V73" s="29">
        <v>1339500</v>
      </c>
      <c r="W73" s="29">
        <f>170132</f>
        <v>170132</v>
      </c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550000</v>
      </c>
      <c r="AQ73" s="29"/>
      <c r="AR73" s="29"/>
      <c r="AS73" s="29"/>
      <c r="AT73" s="29"/>
      <c r="AU73" s="33"/>
      <c r="AV73" s="33"/>
      <c r="AW73" s="33">
        <f t="shared" si="11"/>
        <v>4413032</v>
      </c>
      <c r="AX73" s="33"/>
      <c r="AY73" s="33"/>
      <c r="AZ73" s="29"/>
      <c r="BA73" s="29"/>
      <c r="BB73" s="29"/>
      <c r="BC73" s="29"/>
      <c r="BD73" s="29"/>
      <c r="BE73" s="29"/>
      <c r="BF73" s="29"/>
      <c r="BG73" s="29"/>
      <c r="BH73" s="33"/>
      <c r="BI73" s="29"/>
    </row>
    <row r="74" spans="1:61" ht="70.5" customHeight="1" x14ac:dyDescent="0.8">
      <c r="A74" s="12" t="s">
        <v>139</v>
      </c>
      <c r="B74" s="13" t="s">
        <v>140</v>
      </c>
      <c r="C74" s="29"/>
      <c r="D74" s="29">
        <v>431300</v>
      </c>
      <c r="E74" s="29"/>
      <c r="F74" s="29"/>
      <c r="G74" s="29"/>
      <c r="H74" s="29"/>
      <c r="I74" s="29"/>
      <c r="J74" s="33">
        <f>K74</f>
        <v>0</v>
      </c>
      <c r="K74" s="29"/>
      <c r="L74" s="29"/>
      <c r="M74" s="29"/>
      <c r="N74" s="29"/>
      <c r="O74" s="29"/>
      <c r="P74" s="29"/>
      <c r="Q74" s="29"/>
      <c r="R74" s="29"/>
      <c r="S74" s="33"/>
      <c r="T74" s="33">
        <f t="shared" si="16"/>
        <v>46400</v>
      </c>
      <c r="U74" s="29"/>
      <c r="V74" s="29"/>
      <c r="W74" s="29">
        <f>46400</f>
        <v>46400</v>
      </c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>
        <v>100000</v>
      </c>
      <c r="AL74" s="29"/>
      <c r="AM74" s="29"/>
      <c r="AN74" s="29"/>
      <c r="AO74" s="29"/>
      <c r="AP74" s="29"/>
      <c r="AQ74" s="29"/>
      <c r="AR74" s="29"/>
      <c r="AS74" s="29"/>
      <c r="AT74" s="29"/>
      <c r="AU74" s="33"/>
      <c r="AV74" s="33"/>
      <c r="AW74" s="33">
        <f t="shared" si="11"/>
        <v>577700</v>
      </c>
      <c r="AX74" s="33"/>
      <c r="AY74" s="33"/>
      <c r="AZ74" s="29"/>
      <c r="BA74" s="29"/>
      <c r="BB74" s="29"/>
      <c r="BC74" s="29"/>
      <c r="BD74" s="29">
        <v>3200</v>
      </c>
      <c r="BE74" s="29"/>
      <c r="BF74" s="29"/>
      <c r="BG74" s="29"/>
      <c r="BH74" s="33">
        <f t="shared" ref="BH74:BH100" si="19">SUM(AX74:BG74)</f>
        <v>3200</v>
      </c>
      <c r="BI74" s="29"/>
    </row>
    <row r="75" spans="1:61" ht="70.5" customHeight="1" x14ac:dyDescent="0.8">
      <c r="A75" s="12" t="s">
        <v>243</v>
      </c>
      <c r="B75" s="13" t="s">
        <v>244</v>
      </c>
      <c r="C75" s="29"/>
      <c r="D75" s="29">
        <v>1208800</v>
      </c>
      <c r="E75" s="29"/>
      <c r="F75" s="29"/>
      <c r="G75" s="29"/>
      <c r="H75" s="29"/>
      <c r="I75" s="29"/>
      <c r="J75" s="33"/>
      <c r="K75" s="29"/>
      <c r="L75" s="29"/>
      <c r="M75" s="29"/>
      <c r="N75" s="29">
        <v>390066</v>
      </c>
      <c r="O75" s="29">
        <f>58820</f>
        <v>58820</v>
      </c>
      <c r="P75" s="29"/>
      <c r="Q75" s="29"/>
      <c r="R75" s="29"/>
      <c r="S75" s="33"/>
      <c r="T75" s="33">
        <f t="shared" si="16"/>
        <v>1432299</v>
      </c>
      <c r="U75" s="29"/>
      <c r="V75" s="29">
        <f>1339500</f>
        <v>1339500</v>
      </c>
      <c r="W75" s="29">
        <f>92799</f>
        <v>92799</v>
      </c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33"/>
      <c r="AV75" s="33"/>
      <c r="AW75" s="33">
        <f>SUM(C75:AV75)-U75-V75-W75-X75-Y75-Z75-AA75-AH75-K75-L75-M75</f>
        <v>3089985</v>
      </c>
      <c r="AX75" s="33"/>
      <c r="AY75" s="33"/>
      <c r="AZ75" s="29"/>
      <c r="BA75" s="29"/>
      <c r="BB75" s="29"/>
      <c r="BC75" s="29"/>
      <c r="BD75" s="29">
        <v>8300</v>
      </c>
      <c r="BE75" s="29"/>
      <c r="BF75" s="29"/>
      <c r="BG75" s="29"/>
      <c r="BH75" s="33">
        <f t="shared" si="19"/>
        <v>8300</v>
      </c>
      <c r="BI75" s="29"/>
    </row>
    <row r="76" spans="1:61" ht="70.5" customHeight="1" x14ac:dyDescent="0.8">
      <c r="A76" s="12" t="s">
        <v>205</v>
      </c>
      <c r="B76" s="13" t="s">
        <v>206</v>
      </c>
      <c r="C76" s="29"/>
      <c r="D76" s="29">
        <v>1934300</v>
      </c>
      <c r="E76" s="29"/>
      <c r="F76" s="29"/>
      <c r="G76" s="29"/>
      <c r="H76" s="29"/>
      <c r="I76" s="29"/>
      <c r="J76" s="33"/>
      <c r="K76" s="29"/>
      <c r="L76" s="29"/>
      <c r="M76" s="29"/>
      <c r="N76" s="29">
        <v>494084</v>
      </c>
      <c r="O76" s="29">
        <f>74505</f>
        <v>74505</v>
      </c>
      <c r="P76" s="29"/>
      <c r="Q76" s="29"/>
      <c r="R76" s="29"/>
      <c r="S76" s="33"/>
      <c r="T76" s="33">
        <f t="shared" si="16"/>
        <v>1525098</v>
      </c>
      <c r="U76" s="29"/>
      <c r="V76" s="29">
        <f>1339500</f>
        <v>1339500</v>
      </c>
      <c r="W76" s="29">
        <f>185598</f>
        <v>185598</v>
      </c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33"/>
      <c r="AV76" s="33"/>
      <c r="AW76" s="33">
        <f t="shared" si="11"/>
        <v>4027987</v>
      </c>
      <c r="AX76" s="33"/>
      <c r="AY76" s="33"/>
      <c r="AZ76" s="29"/>
      <c r="BA76" s="29"/>
      <c r="BB76" s="29"/>
      <c r="BC76" s="29"/>
      <c r="BD76" s="29">
        <v>15000</v>
      </c>
      <c r="BE76" s="29"/>
      <c r="BF76" s="29"/>
      <c r="BG76" s="29"/>
      <c r="BH76" s="33">
        <f t="shared" si="19"/>
        <v>15000</v>
      </c>
      <c r="BI76" s="29"/>
    </row>
    <row r="77" spans="1:61" ht="70.5" customHeight="1" x14ac:dyDescent="0.8">
      <c r="A77" s="12" t="s">
        <v>141</v>
      </c>
      <c r="B77" s="13" t="s">
        <v>142</v>
      </c>
      <c r="C77" s="29"/>
      <c r="D77" s="29">
        <v>1476900</v>
      </c>
      <c r="E77" s="29"/>
      <c r="F77" s="29"/>
      <c r="G77" s="29"/>
      <c r="H77" s="29"/>
      <c r="I77" s="29"/>
      <c r="J77" s="33">
        <f>K77</f>
        <v>0</v>
      </c>
      <c r="K77" s="29"/>
      <c r="L77" s="29"/>
      <c r="M77" s="29"/>
      <c r="N77" s="29">
        <v>650110</v>
      </c>
      <c r="O77" s="29">
        <f>98033</f>
        <v>98033</v>
      </c>
      <c r="P77" s="29">
        <f>297452</f>
        <v>297452</v>
      </c>
      <c r="Q77" s="29"/>
      <c r="R77" s="29"/>
      <c r="S77" s="33"/>
      <c r="T77" s="33">
        <f t="shared" si="16"/>
        <v>139199</v>
      </c>
      <c r="U77" s="29"/>
      <c r="V77" s="29"/>
      <c r="W77" s="29">
        <f>139199</f>
        <v>139199</v>
      </c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>
        <v>67500</v>
      </c>
      <c r="AL77" s="29"/>
      <c r="AM77" s="29"/>
      <c r="AN77" s="29"/>
      <c r="AO77" s="29"/>
      <c r="AP77" s="29"/>
      <c r="AQ77" s="29"/>
      <c r="AR77" s="29"/>
      <c r="AS77" s="29"/>
      <c r="AT77" s="29"/>
      <c r="AU77" s="33"/>
      <c r="AV77" s="33"/>
      <c r="AW77" s="33">
        <f t="shared" ref="AW77:AW108" si="20">SUM(C77:AV77)-U77-V77-W77-X77-Y77-Z77-AA77-AH77-K77-L77-M77</f>
        <v>2729194</v>
      </c>
      <c r="AX77" s="33"/>
      <c r="AY77" s="33"/>
      <c r="AZ77" s="29"/>
      <c r="BA77" s="29"/>
      <c r="BB77" s="29"/>
      <c r="BC77" s="29"/>
      <c r="BD77" s="29">
        <v>15100</v>
      </c>
      <c r="BE77" s="29"/>
      <c r="BF77" s="29"/>
      <c r="BG77" s="29"/>
      <c r="BH77" s="33">
        <f t="shared" si="19"/>
        <v>15100</v>
      </c>
      <c r="BI77" s="29"/>
    </row>
    <row r="78" spans="1:61" ht="70.5" customHeight="1" x14ac:dyDescent="0.8">
      <c r="A78" s="12" t="s">
        <v>207</v>
      </c>
      <c r="B78" s="13" t="s">
        <v>208</v>
      </c>
      <c r="C78" s="29"/>
      <c r="D78" s="29">
        <v>414000</v>
      </c>
      <c r="E78" s="29"/>
      <c r="F78" s="29"/>
      <c r="G78" s="29"/>
      <c r="H78" s="29"/>
      <c r="I78" s="29"/>
      <c r="J78" s="33"/>
      <c r="K78" s="29"/>
      <c r="L78" s="29"/>
      <c r="M78" s="29"/>
      <c r="N78" s="29"/>
      <c r="O78" s="29"/>
      <c r="P78" s="29"/>
      <c r="Q78" s="29"/>
      <c r="R78" s="29"/>
      <c r="S78" s="33"/>
      <c r="T78" s="33">
        <f t="shared" si="16"/>
        <v>30933</v>
      </c>
      <c r="U78" s="29"/>
      <c r="V78" s="29"/>
      <c r="W78" s="29">
        <f>30933</f>
        <v>30933</v>
      </c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33"/>
      <c r="AV78" s="33"/>
      <c r="AW78" s="33">
        <f t="shared" si="20"/>
        <v>444933</v>
      </c>
      <c r="AX78" s="33"/>
      <c r="AY78" s="33"/>
      <c r="AZ78" s="29"/>
      <c r="BA78" s="29"/>
      <c r="BB78" s="29"/>
      <c r="BC78" s="29"/>
      <c r="BD78" s="29">
        <v>2500</v>
      </c>
      <c r="BE78" s="29"/>
      <c r="BF78" s="29"/>
      <c r="BG78" s="29"/>
      <c r="BH78" s="33">
        <f t="shared" si="19"/>
        <v>2500</v>
      </c>
      <c r="BI78" s="29"/>
    </row>
    <row r="79" spans="1:61" ht="70.5" customHeight="1" x14ac:dyDescent="0.8">
      <c r="A79" s="12" t="s">
        <v>143</v>
      </c>
      <c r="B79" s="13" t="s">
        <v>144</v>
      </c>
      <c r="C79" s="29"/>
      <c r="D79" s="29">
        <v>625000</v>
      </c>
      <c r="E79" s="29"/>
      <c r="F79" s="29"/>
      <c r="G79" s="29"/>
      <c r="H79" s="29"/>
      <c r="I79" s="29"/>
      <c r="J79" s="33">
        <f t="shared" ref="J79:J99" si="21">K79</f>
        <v>0</v>
      </c>
      <c r="K79" s="29"/>
      <c r="L79" s="29"/>
      <c r="M79" s="29"/>
      <c r="N79" s="29"/>
      <c r="O79" s="29"/>
      <c r="P79" s="29"/>
      <c r="Q79" s="29"/>
      <c r="R79" s="29"/>
      <c r="S79" s="33"/>
      <c r="T79" s="33">
        <f t="shared" si="16"/>
        <v>46400</v>
      </c>
      <c r="U79" s="29"/>
      <c r="V79" s="29"/>
      <c r="W79" s="29">
        <f>46400</f>
        <v>46400</v>
      </c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>
        <v>100000</v>
      </c>
      <c r="AL79" s="29"/>
      <c r="AM79" s="29"/>
      <c r="AN79" s="29"/>
      <c r="AO79" s="29"/>
      <c r="AP79" s="29"/>
      <c r="AQ79" s="29"/>
      <c r="AR79" s="29"/>
      <c r="AS79" s="29"/>
      <c r="AT79" s="29"/>
      <c r="AU79" s="33"/>
      <c r="AV79" s="33"/>
      <c r="AW79" s="33">
        <f t="shared" si="20"/>
        <v>771400</v>
      </c>
      <c r="AX79" s="33"/>
      <c r="AY79" s="33"/>
      <c r="AZ79" s="29"/>
      <c r="BA79" s="29"/>
      <c r="BB79" s="29"/>
      <c r="BC79" s="29"/>
      <c r="BD79" s="29"/>
      <c r="BE79" s="29"/>
      <c r="BF79" s="29"/>
      <c r="BG79" s="29"/>
      <c r="BH79" s="33">
        <f t="shared" si="19"/>
        <v>0</v>
      </c>
      <c r="BI79" s="29"/>
    </row>
    <row r="80" spans="1:61" ht="70.5" customHeight="1" x14ac:dyDescent="0.8">
      <c r="A80" s="12" t="s">
        <v>145</v>
      </c>
      <c r="B80" s="13" t="s">
        <v>146</v>
      </c>
      <c r="C80" s="29"/>
      <c r="D80" s="29">
        <v>568500</v>
      </c>
      <c r="E80" s="29"/>
      <c r="F80" s="29"/>
      <c r="G80" s="29"/>
      <c r="H80" s="29"/>
      <c r="I80" s="29"/>
      <c r="J80" s="33">
        <f t="shared" si="21"/>
        <v>0</v>
      </c>
      <c r="K80" s="29"/>
      <c r="L80" s="29"/>
      <c r="M80" s="29"/>
      <c r="N80" s="29"/>
      <c r="O80" s="29"/>
      <c r="P80" s="29"/>
      <c r="Q80" s="29"/>
      <c r="R80" s="29"/>
      <c r="S80" s="33"/>
      <c r="T80" s="33">
        <f t="shared" si="16"/>
        <v>61866</v>
      </c>
      <c r="U80" s="29"/>
      <c r="V80" s="29"/>
      <c r="W80" s="29">
        <f>61866</f>
        <v>61866</v>
      </c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>
        <v>170000</v>
      </c>
      <c r="AL80" s="29"/>
      <c r="AM80" s="29"/>
      <c r="AN80" s="29"/>
      <c r="AO80" s="29"/>
      <c r="AP80" s="29"/>
      <c r="AQ80" s="29"/>
      <c r="AR80" s="29"/>
      <c r="AS80" s="29"/>
      <c r="AT80" s="29"/>
      <c r="AU80" s="33"/>
      <c r="AV80" s="33"/>
      <c r="AW80" s="33">
        <f t="shared" si="20"/>
        <v>800366</v>
      </c>
      <c r="AX80" s="33"/>
      <c r="AY80" s="33"/>
      <c r="AZ80" s="29"/>
      <c r="BA80" s="29"/>
      <c r="BB80" s="29"/>
      <c r="BC80" s="29"/>
      <c r="BD80" s="29">
        <f>3600</f>
        <v>3600</v>
      </c>
      <c r="BE80" s="29"/>
      <c r="BF80" s="29"/>
      <c r="BG80" s="29"/>
      <c r="BH80" s="33">
        <f t="shared" si="19"/>
        <v>3600</v>
      </c>
      <c r="BI80" s="29"/>
    </row>
    <row r="81" spans="1:61" ht="70.5" customHeight="1" x14ac:dyDescent="0.8">
      <c r="A81" s="12" t="s">
        <v>147</v>
      </c>
      <c r="B81" s="13" t="s">
        <v>148</v>
      </c>
      <c r="C81" s="29"/>
      <c r="D81" s="29">
        <v>835400</v>
      </c>
      <c r="E81" s="29"/>
      <c r="F81" s="29"/>
      <c r="G81" s="29"/>
      <c r="H81" s="29"/>
      <c r="I81" s="29"/>
      <c r="J81" s="33">
        <f t="shared" si="21"/>
        <v>0</v>
      </c>
      <c r="K81" s="29"/>
      <c r="L81" s="29"/>
      <c r="M81" s="29"/>
      <c r="N81" s="29"/>
      <c r="O81" s="29"/>
      <c r="P81" s="29"/>
      <c r="Q81" s="29"/>
      <c r="R81" s="29"/>
      <c r="S81" s="33"/>
      <c r="T81" s="33">
        <f t="shared" si="16"/>
        <v>30933</v>
      </c>
      <c r="U81" s="29"/>
      <c r="V81" s="29"/>
      <c r="W81" s="29">
        <f>30933</f>
        <v>30933</v>
      </c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>
        <v>200000</v>
      </c>
      <c r="AL81" s="29"/>
      <c r="AM81" s="29"/>
      <c r="AN81" s="29"/>
      <c r="AO81" s="29"/>
      <c r="AP81" s="29"/>
      <c r="AQ81" s="29"/>
      <c r="AR81" s="29"/>
      <c r="AS81" s="29"/>
      <c r="AT81" s="29"/>
      <c r="AU81" s="33"/>
      <c r="AV81" s="33"/>
      <c r="AW81" s="33">
        <f t="shared" si="20"/>
        <v>1066333</v>
      </c>
      <c r="AX81" s="33"/>
      <c r="AY81" s="33"/>
      <c r="AZ81" s="29"/>
      <c r="BA81" s="29"/>
      <c r="BB81" s="29"/>
      <c r="BC81" s="29"/>
      <c r="BD81" s="29">
        <v>4400</v>
      </c>
      <c r="BE81" s="29"/>
      <c r="BF81" s="29"/>
      <c r="BG81" s="29"/>
      <c r="BH81" s="33">
        <f t="shared" si="19"/>
        <v>4400</v>
      </c>
      <c r="BI81" s="29"/>
    </row>
    <row r="82" spans="1:61" ht="70.5" customHeight="1" x14ac:dyDescent="0.8">
      <c r="A82" s="12" t="s">
        <v>149</v>
      </c>
      <c r="B82" s="13" t="s">
        <v>150</v>
      </c>
      <c r="C82" s="29"/>
      <c r="D82" s="29">
        <v>275800</v>
      </c>
      <c r="E82" s="29"/>
      <c r="F82" s="29"/>
      <c r="G82" s="29"/>
      <c r="H82" s="29"/>
      <c r="I82" s="29"/>
      <c r="J82" s="33">
        <f t="shared" si="21"/>
        <v>0</v>
      </c>
      <c r="K82" s="29"/>
      <c r="L82" s="29"/>
      <c r="M82" s="29"/>
      <c r="N82" s="29"/>
      <c r="O82" s="29"/>
      <c r="P82" s="29"/>
      <c r="Q82" s="29"/>
      <c r="R82" s="29"/>
      <c r="S82" s="33"/>
      <c r="T82" s="33">
        <f t="shared" si="16"/>
        <v>46400</v>
      </c>
      <c r="U82" s="29"/>
      <c r="V82" s="29"/>
      <c r="W82" s="29">
        <f>46400</f>
        <v>46400</v>
      </c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>
        <v>50000</v>
      </c>
      <c r="AL82" s="29"/>
      <c r="AM82" s="29"/>
      <c r="AN82" s="29"/>
      <c r="AO82" s="29"/>
      <c r="AP82" s="29"/>
      <c r="AQ82" s="29"/>
      <c r="AR82" s="29"/>
      <c r="AS82" s="29"/>
      <c r="AT82" s="29"/>
      <c r="AU82" s="33"/>
      <c r="AV82" s="33"/>
      <c r="AW82" s="33">
        <f t="shared" si="20"/>
        <v>372200</v>
      </c>
      <c r="AX82" s="33"/>
      <c r="AY82" s="33"/>
      <c r="AZ82" s="29"/>
      <c r="BA82" s="29"/>
      <c r="BB82" s="29"/>
      <c r="BC82" s="29"/>
      <c r="BD82" s="29">
        <v>2700</v>
      </c>
      <c r="BE82" s="29"/>
      <c r="BF82" s="29"/>
      <c r="BG82" s="29"/>
      <c r="BH82" s="33">
        <f t="shared" si="19"/>
        <v>2700</v>
      </c>
      <c r="BI82" s="29"/>
    </row>
    <row r="83" spans="1:61" ht="70.5" customHeight="1" x14ac:dyDescent="0.8">
      <c r="A83" s="12" t="s">
        <v>151</v>
      </c>
      <c r="B83" s="13" t="s">
        <v>152</v>
      </c>
      <c r="C83" s="29"/>
      <c r="D83" s="29">
        <v>711800</v>
      </c>
      <c r="E83" s="29"/>
      <c r="F83" s="29"/>
      <c r="G83" s="29"/>
      <c r="H83" s="29"/>
      <c r="I83" s="29"/>
      <c r="J83" s="33">
        <f t="shared" si="21"/>
        <v>0</v>
      </c>
      <c r="K83" s="29"/>
      <c r="L83" s="29"/>
      <c r="M83" s="29"/>
      <c r="N83" s="29"/>
      <c r="O83" s="29"/>
      <c r="P83" s="29"/>
      <c r="Q83" s="29"/>
      <c r="R83" s="29"/>
      <c r="S83" s="33"/>
      <c r="T83" s="33">
        <f t="shared" si="16"/>
        <v>46400</v>
      </c>
      <c r="U83" s="29"/>
      <c r="V83" s="29"/>
      <c r="W83" s="29">
        <f>46400</f>
        <v>46400</v>
      </c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>
        <v>30000</v>
      </c>
      <c r="AL83" s="29"/>
      <c r="AM83" s="29"/>
      <c r="AN83" s="29"/>
      <c r="AO83" s="29"/>
      <c r="AP83" s="29"/>
      <c r="AQ83" s="29"/>
      <c r="AR83" s="29"/>
      <c r="AS83" s="29"/>
      <c r="AT83" s="29"/>
      <c r="AU83" s="33"/>
      <c r="AV83" s="33"/>
      <c r="AW83" s="33">
        <f t="shared" si="20"/>
        <v>788200</v>
      </c>
      <c r="AX83" s="33"/>
      <c r="AY83" s="33"/>
      <c r="AZ83" s="29"/>
      <c r="BA83" s="29"/>
      <c r="BB83" s="29"/>
      <c r="BC83" s="29"/>
      <c r="BD83" s="29"/>
      <c r="BE83" s="29"/>
      <c r="BF83" s="29"/>
      <c r="BG83" s="29"/>
      <c r="BH83" s="33">
        <f t="shared" si="19"/>
        <v>0</v>
      </c>
      <c r="BI83" s="29"/>
    </row>
    <row r="84" spans="1:61" ht="70.5" customHeight="1" x14ac:dyDescent="0.8">
      <c r="A84" s="12" t="s">
        <v>153</v>
      </c>
      <c r="B84" s="13" t="s">
        <v>154</v>
      </c>
      <c r="C84" s="29"/>
      <c r="D84" s="29">
        <v>377100</v>
      </c>
      <c r="E84" s="29"/>
      <c r="F84" s="29"/>
      <c r="G84" s="29"/>
      <c r="H84" s="29"/>
      <c r="I84" s="29"/>
      <c r="J84" s="33">
        <f t="shared" si="21"/>
        <v>0</v>
      </c>
      <c r="K84" s="29"/>
      <c r="L84" s="29"/>
      <c r="M84" s="29"/>
      <c r="N84" s="29"/>
      <c r="O84" s="29"/>
      <c r="P84" s="29"/>
      <c r="Q84" s="29"/>
      <c r="R84" s="29"/>
      <c r="S84" s="33"/>
      <c r="T84" s="33">
        <f t="shared" si="16"/>
        <v>1370433</v>
      </c>
      <c r="U84" s="29"/>
      <c r="V84" s="29">
        <f>1339500</f>
        <v>1339500</v>
      </c>
      <c r="W84" s="29">
        <f>30933</f>
        <v>30933</v>
      </c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>
        <v>50000</v>
      </c>
      <c r="AL84" s="29"/>
      <c r="AM84" s="29"/>
      <c r="AN84" s="29"/>
      <c r="AO84" s="29"/>
      <c r="AP84" s="29"/>
      <c r="AQ84" s="29"/>
      <c r="AR84" s="29"/>
      <c r="AS84" s="29"/>
      <c r="AT84" s="29"/>
      <c r="AU84" s="33"/>
      <c r="AV84" s="33"/>
      <c r="AW84" s="33">
        <f t="shared" si="20"/>
        <v>1797533</v>
      </c>
      <c r="AX84" s="33"/>
      <c r="AY84" s="33"/>
      <c r="AZ84" s="29"/>
      <c r="BA84" s="29"/>
      <c r="BB84" s="29"/>
      <c r="BC84" s="29"/>
      <c r="BD84" s="29">
        <v>3000</v>
      </c>
      <c r="BE84" s="29"/>
      <c r="BF84" s="29"/>
      <c r="BG84" s="29"/>
      <c r="BH84" s="33">
        <f t="shared" si="19"/>
        <v>3000</v>
      </c>
      <c r="BI84" s="29"/>
    </row>
    <row r="85" spans="1:61" ht="119.25" customHeight="1" x14ac:dyDescent="0.8">
      <c r="A85" s="12" t="s">
        <v>180</v>
      </c>
      <c r="B85" s="13" t="s">
        <v>231</v>
      </c>
      <c r="C85" s="29"/>
      <c r="D85" s="29"/>
      <c r="E85" s="29"/>
      <c r="F85" s="29"/>
      <c r="G85" s="29"/>
      <c r="H85" s="29"/>
      <c r="I85" s="29"/>
      <c r="J85" s="33">
        <f t="shared" si="21"/>
        <v>0</v>
      </c>
      <c r="K85" s="29"/>
      <c r="L85" s="29"/>
      <c r="M85" s="29"/>
      <c r="N85" s="29"/>
      <c r="O85" s="29"/>
      <c r="P85" s="29"/>
      <c r="Q85" s="29"/>
      <c r="R85" s="29"/>
      <c r="S85" s="33"/>
      <c r="T85" s="33">
        <f t="shared" si="16"/>
        <v>1339500</v>
      </c>
      <c r="U85" s="29"/>
      <c r="V85" s="29">
        <f>1339500</f>
        <v>1339500</v>
      </c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>
        <v>150000</v>
      </c>
      <c r="AL85" s="29"/>
      <c r="AM85" s="29"/>
      <c r="AN85" s="29"/>
      <c r="AO85" s="29"/>
      <c r="AP85" s="29"/>
      <c r="AQ85" s="29"/>
      <c r="AR85" s="29"/>
      <c r="AS85" s="29"/>
      <c r="AT85" s="29"/>
      <c r="AU85" s="33"/>
      <c r="AV85" s="33"/>
      <c r="AW85" s="33">
        <f t="shared" si="20"/>
        <v>1489500</v>
      </c>
      <c r="AX85" s="33"/>
      <c r="AY85" s="33"/>
      <c r="AZ85" s="29"/>
      <c r="BA85" s="29"/>
      <c r="BB85" s="29"/>
      <c r="BC85" s="29"/>
      <c r="BD85" s="29"/>
      <c r="BE85" s="29"/>
      <c r="BF85" s="29"/>
      <c r="BG85" s="29"/>
      <c r="BH85" s="33">
        <f t="shared" si="19"/>
        <v>0</v>
      </c>
      <c r="BI85" s="29"/>
    </row>
    <row r="86" spans="1:61" ht="70.5" customHeight="1" x14ac:dyDescent="0.8">
      <c r="A86" s="12" t="s">
        <v>178</v>
      </c>
      <c r="B86" s="13" t="s">
        <v>159</v>
      </c>
      <c r="C86" s="29"/>
      <c r="D86" s="29"/>
      <c r="E86" s="29"/>
      <c r="F86" s="29"/>
      <c r="G86" s="29"/>
      <c r="H86" s="29"/>
      <c r="I86" s="29"/>
      <c r="J86" s="33">
        <f t="shared" si="21"/>
        <v>0</v>
      </c>
      <c r="K86" s="29"/>
      <c r="L86" s="29"/>
      <c r="M86" s="29"/>
      <c r="N86" s="29">
        <v>399818</v>
      </c>
      <c r="O86" s="29">
        <f>60290</f>
        <v>60290</v>
      </c>
      <c r="P86" s="29">
        <f>378061</f>
        <v>378061</v>
      </c>
      <c r="Q86" s="29"/>
      <c r="R86" s="29"/>
      <c r="S86" s="33"/>
      <c r="T86" s="33">
        <f t="shared" si="16"/>
        <v>415033.38</v>
      </c>
      <c r="U86" s="29">
        <f>415033.38</f>
        <v>415033.38</v>
      </c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>
        <v>170000</v>
      </c>
      <c r="AL86" s="29"/>
      <c r="AM86" s="29"/>
      <c r="AN86" s="29"/>
      <c r="AO86" s="29"/>
      <c r="AP86" s="29"/>
      <c r="AQ86" s="29"/>
      <c r="AR86" s="29"/>
      <c r="AS86" s="29"/>
      <c r="AT86" s="29"/>
      <c r="AU86" s="33"/>
      <c r="AV86" s="33"/>
      <c r="AW86" s="33">
        <f t="shared" si="20"/>
        <v>1423202.38</v>
      </c>
      <c r="AX86" s="33"/>
      <c r="AY86" s="33"/>
      <c r="AZ86" s="29"/>
      <c r="BA86" s="29"/>
      <c r="BB86" s="29"/>
      <c r="BC86" s="29"/>
      <c r="BD86" s="29"/>
      <c r="BE86" s="29"/>
      <c r="BF86" s="29"/>
      <c r="BG86" s="29"/>
      <c r="BH86" s="33">
        <f t="shared" si="19"/>
        <v>0</v>
      </c>
      <c r="BI86" s="29"/>
    </row>
    <row r="87" spans="1:61" ht="70.5" customHeight="1" x14ac:dyDescent="0.8">
      <c r="A87" s="12" t="s">
        <v>177</v>
      </c>
      <c r="B87" s="13" t="s">
        <v>158</v>
      </c>
      <c r="C87" s="29"/>
      <c r="D87" s="29"/>
      <c r="E87" s="29"/>
      <c r="F87" s="29"/>
      <c r="G87" s="29"/>
      <c r="H87" s="29"/>
      <c r="I87" s="29"/>
      <c r="J87" s="33">
        <f t="shared" si="21"/>
        <v>0</v>
      </c>
      <c r="K87" s="29"/>
      <c r="L87" s="29"/>
      <c r="M87" s="29"/>
      <c r="N87" s="29"/>
      <c r="O87" s="29"/>
      <c r="P87" s="29"/>
      <c r="Q87" s="29"/>
      <c r="R87" s="29"/>
      <c r="S87" s="33"/>
      <c r="T87" s="33">
        <f t="shared" si="16"/>
        <v>0</v>
      </c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>
        <f>40000+60000</f>
        <v>100000</v>
      </c>
      <c r="AL87" s="29"/>
      <c r="AM87" s="29"/>
      <c r="AN87" s="29"/>
      <c r="AO87" s="29"/>
      <c r="AP87" s="29"/>
      <c r="AQ87" s="29"/>
      <c r="AR87" s="29"/>
      <c r="AS87" s="29"/>
      <c r="AT87" s="29"/>
      <c r="AU87" s="33"/>
      <c r="AV87" s="33"/>
      <c r="AW87" s="33">
        <f t="shared" si="20"/>
        <v>100000</v>
      </c>
      <c r="AX87" s="33"/>
      <c r="AY87" s="33"/>
      <c r="AZ87" s="29"/>
      <c r="BA87" s="29"/>
      <c r="BB87" s="29"/>
      <c r="BC87" s="29"/>
      <c r="BD87" s="29">
        <v>3300</v>
      </c>
      <c r="BE87" s="29"/>
      <c r="BF87" s="29"/>
      <c r="BG87" s="29"/>
      <c r="BH87" s="33">
        <f t="shared" si="19"/>
        <v>3300</v>
      </c>
      <c r="BI87" s="29"/>
    </row>
    <row r="88" spans="1:61" ht="70.5" customHeight="1" x14ac:dyDescent="0.8">
      <c r="A88" s="12" t="s">
        <v>182</v>
      </c>
      <c r="B88" s="13" t="s">
        <v>242</v>
      </c>
      <c r="C88" s="29"/>
      <c r="D88" s="29"/>
      <c r="E88" s="29"/>
      <c r="F88" s="29"/>
      <c r="G88" s="29"/>
      <c r="H88" s="29"/>
      <c r="I88" s="29"/>
      <c r="J88" s="33">
        <f t="shared" si="21"/>
        <v>0</v>
      </c>
      <c r="K88" s="29"/>
      <c r="L88" s="29"/>
      <c r="M88" s="29"/>
      <c r="N88" s="29"/>
      <c r="O88" s="29"/>
      <c r="P88" s="29"/>
      <c r="Q88" s="29"/>
      <c r="R88" s="29"/>
      <c r="S88" s="33"/>
      <c r="T88" s="33">
        <f t="shared" si="16"/>
        <v>0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>
        <v>145000</v>
      </c>
      <c r="AL88" s="29"/>
      <c r="AM88" s="29"/>
      <c r="AN88" s="29"/>
      <c r="AO88" s="29"/>
      <c r="AP88" s="29"/>
      <c r="AQ88" s="29"/>
      <c r="AR88" s="29"/>
      <c r="AS88" s="29"/>
      <c r="AT88" s="29">
        <v>500000</v>
      </c>
      <c r="AU88" s="33"/>
      <c r="AV88" s="33"/>
      <c r="AW88" s="33">
        <f t="shared" si="20"/>
        <v>645000</v>
      </c>
      <c r="AX88" s="33"/>
      <c r="AY88" s="33"/>
      <c r="AZ88" s="29"/>
      <c r="BA88" s="29"/>
      <c r="BB88" s="29"/>
      <c r="BC88" s="29"/>
      <c r="BD88" s="29">
        <f>3900</f>
        <v>3900</v>
      </c>
      <c r="BE88" s="29"/>
      <c r="BF88" s="29"/>
      <c r="BG88" s="29"/>
      <c r="BH88" s="33">
        <f t="shared" si="19"/>
        <v>3900</v>
      </c>
      <c r="BI88" s="29"/>
    </row>
    <row r="89" spans="1:61" ht="70.5" customHeight="1" x14ac:dyDescent="0.8">
      <c r="A89" s="12" t="s">
        <v>187</v>
      </c>
      <c r="B89" s="13" t="s">
        <v>164</v>
      </c>
      <c r="C89" s="29"/>
      <c r="D89" s="29"/>
      <c r="E89" s="29"/>
      <c r="F89" s="29"/>
      <c r="G89" s="29"/>
      <c r="H89" s="29"/>
      <c r="I89" s="29"/>
      <c r="J89" s="33">
        <f t="shared" si="21"/>
        <v>0</v>
      </c>
      <c r="K89" s="29"/>
      <c r="L89" s="29"/>
      <c r="M89" s="29"/>
      <c r="N89" s="29"/>
      <c r="O89" s="29"/>
      <c r="P89" s="29"/>
      <c r="Q89" s="29"/>
      <c r="R89" s="29"/>
      <c r="S89" s="33"/>
      <c r="T89" s="33">
        <f t="shared" si="16"/>
        <v>0</v>
      </c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>
        <v>205000</v>
      </c>
      <c r="AL89" s="29"/>
      <c r="AM89" s="29"/>
      <c r="AN89" s="29"/>
      <c r="AO89" s="29"/>
      <c r="AP89" s="29">
        <v>1650000</v>
      </c>
      <c r="AQ89" s="29"/>
      <c r="AR89" s="29"/>
      <c r="AS89" s="29"/>
      <c r="AT89" s="29"/>
      <c r="AU89" s="33"/>
      <c r="AV89" s="33"/>
      <c r="AW89" s="33">
        <f t="shared" si="20"/>
        <v>1855000</v>
      </c>
      <c r="AX89" s="33"/>
      <c r="AY89" s="33"/>
      <c r="AZ89" s="29"/>
      <c r="BA89" s="29"/>
      <c r="BB89" s="29"/>
      <c r="BC89" s="29"/>
      <c r="BD89" s="29"/>
      <c r="BE89" s="29"/>
      <c r="BF89" s="29"/>
      <c r="BG89" s="29"/>
      <c r="BH89" s="33">
        <f t="shared" si="19"/>
        <v>0</v>
      </c>
      <c r="BI89" s="29"/>
    </row>
    <row r="90" spans="1:61" ht="70.5" customHeight="1" x14ac:dyDescent="0.8">
      <c r="A90" s="12" t="s">
        <v>179</v>
      </c>
      <c r="B90" s="13" t="s">
        <v>160</v>
      </c>
      <c r="C90" s="29"/>
      <c r="D90" s="29"/>
      <c r="E90" s="29"/>
      <c r="F90" s="29"/>
      <c r="G90" s="29"/>
      <c r="H90" s="29"/>
      <c r="I90" s="29"/>
      <c r="J90" s="33">
        <f t="shared" si="21"/>
        <v>0</v>
      </c>
      <c r="K90" s="29"/>
      <c r="L90" s="29"/>
      <c r="M90" s="29"/>
      <c r="N90" s="29"/>
      <c r="O90" s="29"/>
      <c r="P90" s="29"/>
      <c r="Q90" s="29"/>
      <c r="R90" s="29"/>
      <c r="S90" s="33"/>
      <c r="T90" s="33">
        <f t="shared" si="16"/>
        <v>0</v>
      </c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>
        <f>65000+30000</f>
        <v>95000</v>
      </c>
      <c r="AL90" s="29"/>
      <c r="AM90" s="29"/>
      <c r="AN90" s="29"/>
      <c r="AO90" s="29"/>
      <c r="AP90" s="29"/>
      <c r="AQ90" s="29"/>
      <c r="AR90" s="29"/>
      <c r="AS90" s="29"/>
      <c r="AT90" s="29"/>
      <c r="AU90" s="33"/>
      <c r="AV90" s="33"/>
      <c r="AW90" s="33">
        <f t="shared" si="20"/>
        <v>95000</v>
      </c>
      <c r="AX90" s="33"/>
      <c r="AY90" s="33"/>
      <c r="AZ90" s="29"/>
      <c r="BA90" s="29"/>
      <c r="BB90" s="29"/>
      <c r="BC90" s="29"/>
      <c r="BD90" s="29">
        <v>7700</v>
      </c>
      <c r="BE90" s="29"/>
      <c r="BF90" s="29"/>
      <c r="BG90" s="29"/>
      <c r="BH90" s="33">
        <f t="shared" si="19"/>
        <v>7700</v>
      </c>
      <c r="BI90" s="29"/>
    </row>
    <row r="91" spans="1:61" ht="70.5" customHeight="1" x14ac:dyDescent="0.8">
      <c r="A91" s="12" t="s">
        <v>186</v>
      </c>
      <c r="B91" s="13" t="s">
        <v>163</v>
      </c>
      <c r="C91" s="29"/>
      <c r="D91" s="29"/>
      <c r="E91" s="29"/>
      <c r="F91" s="29"/>
      <c r="G91" s="29"/>
      <c r="H91" s="29"/>
      <c r="I91" s="29"/>
      <c r="J91" s="33">
        <f t="shared" si="21"/>
        <v>0</v>
      </c>
      <c r="K91" s="29"/>
      <c r="L91" s="29"/>
      <c r="M91" s="29"/>
      <c r="N91" s="29"/>
      <c r="O91" s="29"/>
      <c r="P91" s="29"/>
      <c r="Q91" s="29"/>
      <c r="R91" s="29"/>
      <c r="S91" s="33"/>
      <c r="T91" s="33">
        <f t="shared" si="16"/>
        <v>0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>
        <f>65000+20000</f>
        <v>85000</v>
      </c>
      <c r="AL91" s="29"/>
      <c r="AM91" s="29"/>
      <c r="AN91" s="29"/>
      <c r="AO91" s="29"/>
      <c r="AP91" s="29"/>
      <c r="AQ91" s="29"/>
      <c r="AR91" s="29"/>
      <c r="AS91" s="29"/>
      <c r="AT91" s="29">
        <v>500000</v>
      </c>
      <c r="AU91" s="33"/>
      <c r="AV91" s="33"/>
      <c r="AW91" s="33">
        <f t="shared" si="20"/>
        <v>585000</v>
      </c>
      <c r="AX91" s="33"/>
      <c r="AY91" s="33"/>
      <c r="AZ91" s="29">
        <v>1000000</v>
      </c>
      <c r="BA91" s="29"/>
      <c r="BB91" s="29"/>
      <c r="BC91" s="29"/>
      <c r="BD91" s="29">
        <v>2800</v>
      </c>
      <c r="BE91" s="29"/>
      <c r="BF91" s="29"/>
      <c r="BG91" s="29"/>
      <c r="BH91" s="33">
        <f t="shared" si="19"/>
        <v>1002800</v>
      </c>
      <c r="BI91" s="29"/>
    </row>
    <row r="92" spans="1:61" ht="70.5" customHeight="1" x14ac:dyDescent="0.8">
      <c r="A92" s="12" t="s">
        <v>183</v>
      </c>
      <c r="B92" s="13" t="s">
        <v>291</v>
      </c>
      <c r="C92" s="29"/>
      <c r="D92" s="29"/>
      <c r="E92" s="29"/>
      <c r="F92" s="29"/>
      <c r="G92" s="29"/>
      <c r="H92" s="29"/>
      <c r="I92" s="29"/>
      <c r="J92" s="33">
        <f t="shared" si="21"/>
        <v>0</v>
      </c>
      <c r="K92" s="29"/>
      <c r="L92" s="29"/>
      <c r="M92" s="29"/>
      <c r="N92" s="29">
        <v>425822</v>
      </c>
      <c r="O92" s="29">
        <f>64212</f>
        <v>64212</v>
      </c>
      <c r="P92" s="29"/>
      <c r="Q92" s="29"/>
      <c r="R92" s="29"/>
      <c r="S92" s="33"/>
      <c r="T92" s="33">
        <f t="shared" si="16"/>
        <v>0</v>
      </c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>
        <f>40000-20000</f>
        <v>20000</v>
      </c>
      <c r="AL92" s="29"/>
      <c r="AM92" s="29"/>
      <c r="AN92" s="29"/>
      <c r="AO92" s="29"/>
      <c r="AP92" s="29"/>
      <c r="AQ92" s="29"/>
      <c r="AR92" s="29"/>
      <c r="AS92" s="29"/>
      <c r="AT92" s="29">
        <v>250000</v>
      </c>
      <c r="AU92" s="33"/>
      <c r="AV92" s="33"/>
      <c r="AW92" s="33">
        <f t="shared" si="20"/>
        <v>760034</v>
      </c>
      <c r="AX92" s="33"/>
      <c r="AY92" s="33"/>
      <c r="AZ92" s="29"/>
      <c r="BA92" s="29"/>
      <c r="BB92" s="29"/>
      <c r="BC92" s="29"/>
      <c r="BD92" s="29">
        <f>9400</f>
        <v>9400</v>
      </c>
      <c r="BE92" s="29"/>
      <c r="BF92" s="29"/>
      <c r="BG92" s="29"/>
      <c r="BH92" s="33">
        <f t="shared" si="19"/>
        <v>9400</v>
      </c>
      <c r="BI92" s="29"/>
    </row>
    <row r="93" spans="1:61" ht="119.25" customHeight="1" x14ac:dyDescent="0.8">
      <c r="A93" s="12" t="s">
        <v>181</v>
      </c>
      <c r="B93" s="13" t="s">
        <v>232</v>
      </c>
      <c r="C93" s="29"/>
      <c r="D93" s="29"/>
      <c r="E93" s="29"/>
      <c r="F93" s="29"/>
      <c r="G93" s="29"/>
      <c r="H93" s="29"/>
      <c r="I93" s="29"/>
      <c r="J93" s="33">
        <f t="shared" si="21"/>
        <v>0</v>
      </c>
      <c r="K93" s="29"/>
      <c r="L93" s="29"/>
      <c r="M93" s="29"/>
      <c r="N93" s="29"/>
      <c r="O93" s="29"/>
      <c r="P93" s="29"/>
      <c r="Q93" s="29"/>
      <c r="R93" s="29"/>
      <c r="S93" s="33"/>
      <c r="T93" s="33">
        <f t="shared" si="16"/>
        <v>0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>
        <v>200000</v>
      </c>
      <c r="AL93" s="29"/>
      <c r="AM93" s="29"/>
      <c r="AN93" s="29"/>
      <c r="AO93" s="29"/>
      <c r="AP93" s="29"/>
      <c r="AQ93" s="29"/>
      <c r="AR93" s="29"/>
      <c r="AS93" s="29"/>
      <c r="AT93" s="29"/>
      <c r="AU93" s="33"/>
      <c r="AV93" s="33"/>
      <c r="AW93" s="33">
        <f t="shared" si="20"/>
        <v>200000</v>
      </c>
      <c r="AX93" s="33"/>
      <c r="AY93" s="33"/>
      <c r="AZ93" s="29"/>
      <c r="BA93" s="29"/>
      <c r="BB93" s="29"/>
      <c r="BC93" s="29"/>
      <c r="BD93" s="29"/>
      <c r="BE93" s="29"/>
      <c r="BF93" s="29"/>
      <c r="BG93" s="29"/>
      <c r="BH93" s="33">
        <f t="shared" si="19"/>
        <v>0</v>
      </c>
      <c r="BI93" s="29"/>
    </row>
    <row r="94" spans="1:61" ht="70.5" customHeight="1" x14ac:dyDescent="0.8">
      <c r="A94" s="12" t="s">
        <v>174</v>
      </c>
      <c r="B94" s="13" t="s">
        <v>155</v>
      </c>
      <c r="C94" s="29"/>
      <c r="D94" s="29"/>
      <c r="E94" s="29"/>
      <c r="F94" s="29"/>
      <c r="G94" s="29"/>
      <c r="H94" s="29"/>
      <c r="I94" s="29"/>
      <c r="J94" s="33">
        <f t="shared" si="21"/>
        <v>0</v>
      </c>
      <c r="K94" s="29"/>
      <c r="L94" s="29"/>
      <c r="M94" s="29"/>
      <c r="N94" s="29"/>
      <c r="O94" s="29"/>
      <c r="P94" s="29"/>
      <c r="Q94" s="29"/>
      <c r="R94" s="29"/>
      <c r="S94" s="33"/>
      <c r="T94" s="33">
        <f t="shared" si="16"/>
        <v>0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>
        <f>395000-225000</f>
        <v>170000</v>
      </c>
      <c r="AL94" s="29"/>
      <c r="AM94" s="29"/>
      <c r="AN94" s="29"/>
      <c r="AO94" s="29"/>
      <c r="AP94" s="29"/>
      <c r="AQ94" s="29"/>
      <c r="AR94" s="29"/>
      <c r="AS94" s="29"/>
      <c r="AT94" s="29"/>
      <c r="AU94" s="33"/>
      <c r="AV94" s="33"/>
      <c r="AW94" s="33">
        <f t="shared" si="20"/>
        <v>170000</v>
      </c>
      <c r="AX94" s="33"/>
      <c r="AY94" s="33"/>
      <c r="AZ94" s="29"/>
      <c r="BA94" s="29"/>
      <c r="BB94" s="29"/>
      <c r="BC94" s="29"/>
      <c r="BD94" s="29">
        <f>3700</f>
        <v>3700</v>
      </c>
      <c r="BE94" s="29"/>
      <c r="BF94" s="29"/>
      <c r="BG94" s="29"/>
      <c r="BH94" s="33">
        <f t="shared" si="19"/>
        <v>3700</v>
      </c>
      <c r="BI94" s="29"/>
    </row>
    <row r="95" spans="1:61" ht="70.5" customHeight="1" x14ac:dyDescent="0.8">
      <c r="A95" s="12" t="s">
        <v>184</v>
      </c>
      <c r="B95" s="13" t="s">
        <v>161</v>
      </c>
      <c r="C95" s="29"/>
      <c r="D95" s="29"/>
      <c r="E95" s="29"/>
      <c r="F95" s="29"/>
      <c r="G95" s="29"/>
      <c r="H95" s="29"/>
      <c r="I95" s="29"/>
      <c r="J95" s="33">
        <f t="shared" si="21"/>
        <v>0</v>
      </c>
      <c r="K95" s="29"/>
      <c r="L95" s="29"/>
      <c r="M95" s="29"/>
      <c r="N95" s="29"/>
      <c r="O95" s="29"/>
      <c r="P95" s="29"/>
      <c r="Q95" s="29"/>
      <c r="R95" s="29"/>
      <c r="S95" s="33"/>
      <c r="T95" s="33">
        <f t="shared" si="16"/>
        <v>0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>
        <f>425000-75000</f>
        <v>350000</v>
      </c>
      <c r="AL95" s="29"/>
      <c r="AM95" s="29"/>
      <c r="AN95" s="29"/>
      <c r="AO95" s="29"/>
      <c r="AP95" s="29"/>
      <c r="AQ95" s="29"/>
      <c r="AR95" s="29"/>
      <c r="AS95" s="29"/>
      <c r="AT95" s="29"/>
      <c r="AU95" s="33"/>
      <c r="AV95" s="33"/>
      <c r="AW95" s="33">
        <f t="shared" si="20"/>
        <v>350000</v>
      </c>
      <c r="AX95" s="33"/>
      <c r="AY95" s="33"/>
      <c r="AZ95" s="29"/>
      <c r="BA95" s="29"/>
      <c r="BB95" s="29"/>
      <c r="BC95" s="29"/>
      <c r="BD95" s="29">
        <f>11600</f>
        <v>11600</v>
      </c>
      <c r="BE95" s="29"/>
      <c r="BF95" s="29"/>
      <c r="BG95" s="29"/>
      <c r="BH95" s="33">
        <f t="shared" si="19"/>
        <v>11600</v>
      </c>
      <c r="BI95" s="29"/>
    </row>
    <row r="96" spans="1:61" ht="70.5" customHeight="1" x14ac:dyDescent="0.8">
      <c r="A96" s="12" t="s">
        <v>285</v>
      </c>
      <c r="B96" s="13" t="s">
        <v>286</v>
      </c>
      <c r="C96" s="29"/>
      <c r="D96" s="29"/>
      <c r="E96" s="29"/>
      <c r="F96" s="29"/>
      <c r="G96" s="29"/>
      <c r="H96" s="29"/>
      <c r="I96" s="29"/>
      <c r="J96" s="33"/>
      <c r="K96" s="29"/>
      <c r="L96" s="29"/>
      <c r="M96" s="29"/>
      <c r="N96" s="29"/>
      <c r="O96" s="29"/>
      <c r="P96" s="29"/>
      <c r="Q96" s="29"/>
      <c r="R96" s="29"/>
      <c r="S96" s="33"/>
      <c r="T96" s="33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>
        <v>215000</v>
      </c>
      <c r="AL96" s="29"/>
      <c r="AM96" s="29"/>
      <c r="AN96" s="29"/>
      <c r="AO96" s="29"/>
      <c r="AP96" s="29"/>
      <c r="AQ96" s="29"/>
      <c r="AR96" s="29"/>
      <c r="AS96" s="29"/>
      <c r="AT96" s="29"/>
      <c r="AU96" s="33"/>
      <c r="AV96" s="33"/>
      <c r="AW96" s="33">
        <f t="shared" si="20"/>
        <v>215000</v>
      </c>
      <c r="AX96" s="33"/>
      <c r="AY96" s="33"/>
      <c r="AZ96" s="29"/>
      <c r="BA96" s="29"/>
      <c r="BB96" s="29"/>
      <c r="BC96" s="29"/>
      <c r="BD96" s="29"/>
      <c r="BE96" s="29"/>
      <c r="BF96" s="29"/>
      <c r="BG96" s="29"/>
      <c r="BH96" s="33"/>
      <c r="BI96" s="29"/>
    </row>
    <row r="97" spans="1:61" ht="70.5" customHeight="1" x14ac:dyDescent="0.8">
      <c r="A97" s="12" t="s">
        <v>185</v>
      </c>
      <c r="B97" s="13" t="s">
        <v>162</v>
      </c>
      <c r="C97" s="29"/>
      <c r="D97" s="29"/>
      <c r="E97" s="29"/>
      <c r="F97" s="29"/>
      <c r="G97" s="29"/>
      <c r="H97" s="29"/>
      <c r="I97" s="29"/>
      <c r="J97" s="33">
        <f t="shared" si="21"/>
        <v>0</v>
      </c>
      <c r="K97" s="29"/>
      <c r="L97" s="29"/>
      <c r="M97" s="29"/>
      <c r="N97" s="29"/>
      <c r="O97" s="29"/>
      <c r="P97" s="29"/>
      <c r="Q97" s="29"/>
      <c r="R97" s="29"/>
      <c r="S97" s="33"/>
      <c r="T97" s="33">
        <f t="shared" si="16"/>
        <v>0</v>
      </c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>
        <f>70000+380000</f>
        <v>450000</v>
      </c>
      <c r="AL97" s="29"/>
      <c r="AM97" s="29"/>
      <c r="AN97" s="29"/>
      <c r="AO97" s="29"/>
      <c r="AP97" s="29"/>
      <c r="AQ97" s="29"/>
      <c r="AR97" s="29"/>
      <c r="AS97" s="29"/>
      <c r="AT97" s="29"/>
      <c r="AU97" s="33"/>
      <c r="AV97" s="33"/>
      <c r="AW97" s="33">
        <f t="shared" si="20"/>
        <v>450000</v>
      </c>
      <c r="AX97" s="33"/>
      <c r="AY97" s="33"/>
      <c r="AZ97" s="29"/>
      <c r="BA97" s="29"/>
      <c r="BB97" s="29"/>
      <c r="BC97" s="29"/>
      <c r="BD97" s="29"/>
      <c r="BE97" s="29"/>
      <c r="BF97" s="29"/>
      <c r="BG97" s="29"/>
      <c r="BH97" s="33">
        <f t="shared" si="19"/>
        <v>0</v>
      </c>
      <c r="BI97" s="29"/>
    </row>
    <row r="98" spans="1:61" ht="70.5" customHeight="1" x14ac:dyDescent="0.8">
      <c r="A98" s="12" t="s">
        <v>176</v>
      </c>
      <c r="B98" s="13" t="s">
        <v>157</v>
      </c>
      <c r="C98" s="29"/>
      <c r="D98" s="29"/>
      <c r="E98" s="29"/>
      <c r="F98" s="29"/>
      <c r="G98" s="29"/>
      <c r="H98" s="29"/>
      <c r="I98" s="29"/>
      <c r="J98" s="33">
        <f t="shared" si="21"/>
        <v>0</v>
      </c>
      <c r="K98" s="29"/>
      <c r="L98" s="29"/>
      <c r="M98" s="29"/>
      <c r="N98" s="29"/>
      <c r="O98" s="29"/>
      <c r="P98" s="29"/>
      <c r="Q98" s="29"/>
      <c r="R98" s="29"/>
      <c r="S98" s="33"/>
      <c r="T98" s="33">
        <f t="shared" si="16"/>
        <v>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>
        <v>17500</v>
      </c>
      <c r="AL98" s="29"/>
      <c r="AM98" s="29"/>
      <c r="AN98" s="29"/>
      <c r="AO98" s="29"/>
      <c r="AP98" s="29"/>
      <c r="AQ98" s="29"/>
      <c r="AR98" s="29"/>
      <c r="AS98" s="29"/>
      <c r="AT98" s="29"/>
      <c r="AU98" s="33"/>
      <c r="AV98" s="33"/>
      <c r="AW98" s="33">
        <f t="shared" si="20"/>
        <v>17500</v>
      </c>
      <c r="AX98" s="33"/>
      <c r="AY98" s="33"/>
      <c r="AZ98" s="29"/>
      <c r="BA98" s="29"/>
      <c r="BB98" s="29"/>
      <c r="BC98" s="29"/>
      <c r="BD98" s="29">
        <v>3500</v>
      </c>
      <c r="BE98" s="29"/>
      <c r="BF98" s="29"/>
      <c r="BG98" s="29"/>
      <c r="BH98" s="33">
        <f t="shared" si="19"/>
        <v>3500</v>
      </c>
      <c r="BI98" s="29"/>
    </row>
    <row r="99" spans="1:61" ht="70.5" customHeight="1" x14ac:dyDescent="0.8">
      <c r="A99" s="12" t="s">
        <v>175</v>
      </c>
      <c r="B99" s="13" t="s">
        <v>156</v>
      </c>
      <c r="C99" s="29"/>
      <c r="D99" s="29"/>
      <c r="E99" s="29"/>
      <c r="F99" s="29"/>
      <c r="G99" s="29"/>
      <c r="H99" s="29"/>
      <c r="I99" s="29"/>
      <c r="J99" s="33">
        <f t="shared" si="21"/>
        <v>0</v>
      </c>
      <c r="K99" s="29"/>
      <c r="L99" s="29"/>
      <c r="M99" s="29"/>
      <c r="N99" s="29"/>
      <c r="O99" s="29"/>
      <c r="P99" s="29"/>
      <c r="Q99" s="29"/>
      <c r="R99" s="29"/>
      <c r="S99" s="33"/>
      <c r="T99" s="33">
        <f t="shared" si="16"/>
        <v>0</v>
      </c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>
        <f>50000+250000</f>
        <v>300000</v>
      </c>
      <c r="AL99" s="29"/>
      <c r="AM99" s="29"/>
      <c r="AN99" s="29"/>
      <c r="AO99" s="29"/>
      <c r="AP99" s="29"/>
      <c r="AQ99" s="29"/>
      <c r="AR99" s="29"/>
      <c r="AS99" s="29"/>
      <c r="AT99" s="29"/>
      <c r="AU99" s="33"/>
      <c r="AV99" s="33"/>
      <c r="AW99" s="33">
        <f t="shared" si="20"/>
        <v>300000</v>
      </c>
      <c r="AX99" s="33"/>
      <c r="AY99" s="33"/>
      <c r="AZ99" s="29"/>
      <c r="BA99" s="29">
        <v>2500000</v>
      </c>
      <c r="BB99" s="29"/>
      <c r="BC99" s="29"/>
      <c r="BD99" s="29">
        <v>5100</v>
      </c>
      <c r="BE99" s="29"/>
      <c r="BF99" s="29"/>
      <c r="BG99" s="29"/>
      <c r="BH99" s="33">
        <f t="shared" si="19"/>
        <v>2505100</v>
      </c>
      <c r="BI99" s="29"/>
    </row>
    <row r="100" spans="1:61" ht="70.5" customHeight="1" x14ac:dyDescent="0.8">
      <c r="A100" s="12" t="s">
        <v>230</v>
      </c>
      <c r="B100" s="13" t="s">
        <v>165</v>
      </c>
      <c r="C100" s="29"/>
      <c r="D100" s="29"/>
      <c r="E100" s="29"/>
      <c r="F100" s="29"/>
      <c r="G100" s="29"/>
      <c r="H100" s="29"/>
      <c r="I100" s="29"/>
      <c r="J100" s="33">
        <f>K100</f>
        <v>0</v>
      </c>
      <c r="K100" s="29"/>
      <c r="L100" s="29"/>
      <c r="M100" s="29"/>
      <c r="N100" s="29"/>
      <c r="O100" s="29"/>
      <c r="P100" s="29"/>
      <c r="Q100" s="29"/>
      <c r="R100" s="29"/>
      <c r="S100" s="33"/>
      <c r="T100" s="33">
        <f t="shared" si="16"/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>
        <f>330000+170000</f>
        <v>500000</v>
      </c>
      <c r="AL100" s="29"/>
      <c r="AM100" s="29"/>
      <c r="AN100" s="29"/>
      <c r="AO100" s="29"/>
      <c r="AP100" s="29"/>
      <c r="AQ100" s="29"/>
      <c r="AR100" s="29"/>
      <c r="AS100" s="29"/>
      <c r="AT100" s="29"/>
      <c r="AU100" s="33"/>
      <c r="AV100" s="33"/>
      <c r="AW100" s="33">
        <f t="shared" si="20"/>
        <v>500000</v>
      </c>
      <c r="AX100" s="33"/>
      <c r="AY100" s="33"/>
      <c r="AZ100" s="29"/>
      <c r="BA100" s="29"/>
      <c r="BB100" s="29"/>
      <c r="BC100" s="29"/>
      <c r="BD100" s="29"/>
      <c r="BE100" s="29"/>
      <c r="BF100" s="29"/>
      <c r="BG100" s="29"/>
      <c r="BH100" s="33">
        <f t="shared" si="19"/>
        <v>0</v>
      </c>
      <c r="BI100" s="29"/>
    </row>
    <row r="101" spans="1:61" ht="70.5" customHeight="1" x14ac:dyDescent="0.8">
      <c r="A101" s="12" t="s">
        <v>252</v>
      </c>
      <c r="B101" s="13" t="s">
        <v>253</v>
      </c>
      <c r="C101" s="29"/>
      <c r="D101" s="29"/>
      <c r="E101" s="29"/>
      <c r="F101" s="29"/>
      <c r="G101" s="29"/>
      <c r="H101" s="29"/>
      <c r="I101" s="29"/>
      <c r="J101" s="33"/>
      <c r="K101" s="29"/>
      <c r="L101" s="29"/>
      <c r="M101" s="29"/>
      <c r="N101" s="29">
        <v>312053</v>
      </c>
      <c r="O101" s="29">
        <v>47056</v>
      </c>
      <c r="P101" s="29">
        <f>178299</f>
        <v>178299</v>
      </c>
      <c r="Q101" s="29"/>
      <c r="R101" s="29"/>
      <c r="S101" s="33"/>
      <c r="T101" s="33">
        <f>U101+V101+W101+X101+Y101+Z101+AA101</f>
        <v>599000</v>
      </c>
      <c r="U101" s="29">
        <v>102000</v>
      </c>
      <c r="V101" s="29"/>
      <c r="W101" s="29"/>
      <c r="X101" s="29"/>
      <c r="Y101" s="29"/>
      <c r="Z101" s="29"/>
      <c r="AA101" s="29">
        <v>497000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>
        <v>200000</v>
      </c>
      <c r="AL101" s="29"/>
      <c r="AM101" s="29"/>
      <c r="AN101" s="29"/>
      <c r="AO101" s="29"/>
      <c r="AP101" s="29"/>
      <c r="AQ101" s="29"/>
      <c r="AR101" s="29"/>
      <c r="AS101" s="29"/>
      <c r="AT101" s="29"/>
      <c r="AU101" s="33"/>
      <c r="AV101" s="33"/>
      <c r="AW101" s="33">
        <f t="shared" si="20"/>
        <v>1336408</v>
      </c>
      <c r="AX101" s="33"/>
      <c r="AY101" s="33"/>
      <c r="AZ101" s="29"/>
      <c r="BA101" s="29"/>
      <c r="BB101" s="29"/>
      <c r="BC101" s="29"/>
      <c r="BD101" s="29"/>
      <c r="BE101" s="29"/>
      <c r="BF101" s="29"/>
      <c r="BG101" s="29"/>
      <c r="BH101" s="33"/>
      <c r="BI101" s="29"/>
    </row>
    <row r="102" spans="1:61" ht="70.5" customHeight="1" x14ac:dyDescent="0.8">
      <c r="A102" s="12" t="s">
        <v>190</v>
      </c>
      <c r="B102" s="13" t="s">
        <v>211</v>
      </c>
      <c r="C102" s="29"/>
      <c r="D102" s="29"/>
      <c r="E102" s="29"/>
      <c r="F102" s="29"/>
      <c r="G102" s="29"/>
      <c r="H102" s="29"/>
      <c r="I102" s="29"/>
      <c r="J102" s="33">
        <f>K102+L102+M102</f>
        <v>62500</v>
      </c>
      <c r="K102" s="29">
        <v>62500</v>
      </c>
      <c r="L102" s="29"/>
      <c r="M102" s="29"/>
      <c r="N102" s="29"/>
      <c r="O102" s="29"/>
      <c r="P102" s="29"/>
      <c r="Q102" s="29"/>
      <c r="R102" s="29"/>
      <c r="S102" s="33"/>
      <c r="T102" s="33">
        <f t="shared" si="16"/>
        <v>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33"/>
      <c r="AV102" s="33"/>
      <c r="AW102" s="33">
        <f t="shared" si="20"/>
        <v>62500</v>
      </c>
      <c r="AX102" s="33"/>
      <c r="AY102" s="33"/>
      <c r="AZ102" s="29"/>
      <c r="BA102" s="29"/>
      <c r="BB102" s="29"/>
      <c r="BC102" s="29"/>
      <c r="BD102" s="29">
        <v>5600</v>
      </c>
      <c r="BE102" s="29"/>
      <c r="BF102" s="29"/>
      <c r="BG102" s="29"/>
      <c r="BH102" s="33">
        <f t="shared" ref="BH102:BH109" si="22">SUM(AX102:BG102)</f>
        <v>5600</v>
      </c>
      <c r="BI102" s="29"/>
    </row>
    <row r="103" spans="1:61" ht="70.5" customHeight="1" x14ac:dyDescent="0.8">
      <c r="A103" s="12" t="s">
        <v>191</v>
      </c>
      <c r="B103" s="13" t="s">
        <v>212</v>
      </c>
      <c r="C103" s="29"/>
      <c r="D103" s="29"/>
      <c r="E103" s="29"/>
      <c r="F103" s="29"/>
      <c r="G103" s="29"/>
      <c r="H103" s="29"/>
      <c r="I103" s="29"/>
      <c r="J103" s="33">
        <f>K103+L103+M103</f>
        <v>79200</v>
      </c>
      <c r="K103" s="29">
        <v>79200</v>
      </c>
      <c r="L103" s="29"/>
      <c r="M103" s="29"/>
      <c r="N103" s="29"/>
      <c r="O103" s="29"/>
      <c r="P103" s="29"/>
      <c r="Q103" s="29"/>
      <c r="R103" s="29"/>
      <c r="S103" s="33"/>
      <c r="T103" s="33">
        <f t="shared" si="16"/>
        <v>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33"/>
      <c r="AV103" s="33"/>
      <c r="AW103" s="33">
        <f t="shared" si="20"/>
        <v>79200</v>
      </c>
      <c r="AX103" s="33"/>
      <c r="AY103" s="33"/>
      <c r="AZ103" s="29"/>
      <c r="BA103" s="29"/>
      <c r="BB103" s="29"/>
      <c r="BC103" s="29"/>
      <c r="BD103" s="29">
        <v>4400</v>
      </c>
      <c r="BE103" s="29"/>
      <c r="BF103" s="29"/>
      <c r="BG103" s="29"/>
      <c r="BH103" s="33">
        <f t="shared" si="22"/>
        <v>4400</v>
      </c>
      <c r="BI103" s="29"/>
    </row>
    <row r="104" spans="1:61" ht="70.5" customHeight="1" x14ac:dyDescent="0.8">
      <c r="A104" s="12"/>
      <c r="B104" s="13" t="s">
        <v>50</v>
      </c>
      <c r="C104" s="29">
        <f>SUM(C51:C102)</f>
        <v>0</v>
      </c>
      <c r="D104" s="29">
        <f>SUM(D51:D102)</f>
        <v>31956200</v>
      </c>
      <c r="E104" s="29">
        <f>E51+E52+E53+E54+E56+E57+E58+E59+E60+E61+E62+E63+E64+E100+E67+E68+E69+E71+E74+E77+E79+E80+E81+E82+E83+E84+E85+E86+E87+E88+E89+E90+E91+E92+E93+E94+E95+E97+E98+E99+E102+E103+E65+E78+E76+E70</f>
        <v>0</v>
      </c>
      <c r="F104" s="29">
        <f>F51+F52+F53+F54+F56+F57+F58+F59+F60+F61+F62+F63+F64+F100+F67+F68+F69+F71+F74+F77+F79+F80+F81+F82+F83+F84+F85+F86+F87+F88+F89+F90+F91+F92+F93+F94+F95+F97+F98+F99+F102+F103+F65+F78+F76+F70</f>
        <v>0</v>
      </c>
      <c r="G104" s="29">
        <f>G51+G52+G53+G54+G56+G57+G58+G59+G60+G61+G62+G63+G64+G100+G67+G68+G69+G71+G74+G77+G79+G80+G81+G82+G83+G84+G85+G86+G87+G88+G89+G90+G91+G92+G93+G94+G95+G97+G98+G99+G102+G103+G65+G78+G76+G70</f>
        <v>0</v>
      </c>
      <c r="H104" s="29">
        <f>H51+H52+H53+H54+H56+H57+H58+H59+H60+H61+H62+H63+H64+H100+H67+H68+H69+H71+H74+H77+H79+H80+H81+H82+H83+H84+H85+H86+H87+H88+H89+H90+H91+H92+H93+H94+H95+H97+H98+H99+H102+H103+H65+H78+H76+H70</f>
        <v>0</v>
      </c>
      <c r="I104" s="29"/>
      <c r="J104" s="29">
        <f>J51+J52+J53+J54+J56+J57+J58+J59+J60+J61+J62+J63+J64+J100+J67+J68+J69+J71+J74+J77+J79+J80+J81+J82+J83+J84+J85+J86+J87+J88+J89+J90+J91+J92+J93+J94+J95+J97+J98+J99+J102+J103+J65+J78+J76+J70</f>
        <v>141700</v>
      </c>
      <c r="K104" s="29">
        <f>K51+K52+K53+K54+K56+K57+K58+K59+K60+K61+K62+K63+K64+K100+K67+K68+K69+K71+K74+K77+K79+K80+K81+K82+K83+K84+K85+K86+K87+K88+K89+K90+K91+K92+K93+K94+K95+K97+K98+K99+K102+K103+K65+K78+K76+K70</f>
        <v>141700</v>
      </c>
      <c r="L104" s="29">
        <f>L51+L52+L53+L54+L56+L57+L58+L59+L60+L61+L62+L63+L64+L100+L67+L68+L69+L71+L74+L77+L79+L80+L81+L82+L83+L84+L85+L86+L87+L88+L89+L90+L91+L92+L93+L94+L95+L97+L98+L99+L102+L103+L65+L78+L76+L70</f>
        <v>0</v>
      </c>
      <c r="M104" s="29">
        <f>M51+M52+M53+M54+M56+M57+M58+M59+M60+M61+M62+M63+M64+M100+M67+M68+M69+M71+M74+M77+M79+M80+M81+M82+M83+M84+M85+M86+M87+M88+M89+M90+M91+M92+M93+M94+M95+M97+M98+M99+M102+M103+M65+M78+M76+M70</f>
        <v>0</v>
      </c>
      <c r="N104" s="29">
        <f>N51+N52+N53+N54+N56+N57+N58+N59+N60+N61+N62+N63+N64+N65+N66+N67+N68+N69+N70+N71+N74+N76+N77+N78+N79+N80+N81+N82+N83+N84+N85+N86+N87+N88+N89+N90+N91+N92+N93+N94+N95+N97+N98+N99+N100+N102+N103+N101+N96+N75+N72+N73+N55</f>
        <v>4323232</v>
      </c>
      <c r="O104" s="29">
        <f>O51+O52+O53+O54+O56+O57+O58+O59+O60+O61+O62+O63+O64+O65+O66+O67+O68+O69+O70+O71+O74+O76+O77+O78+O79+O80+O81+O82+O83+O84+O85+O86+O87+O88+O89+O90+O91+O92+O93+O94+O95+O97+O98+O99+O100+O102+O103+O101+O73+O72+O75</f>
        <v>651919</v>
      </c>
      <c r="P104" s="29">
        <f>P51+P52+P53+P54+P56+P57+P58+P59+P60+P61+P62+P63+P64+P100+P67+P68+P69+P71+P74+P77+P79+P80+P81+P82+P83+P84+P85+P86+P87+P88+P89+P90+P91+P92+P93+P94+P95+P97+P98+P99+P102+P103+P65+P78+P76+P70+P101+P96+P75+P73+P72+P66+P55</f>
        <v>3440292</v>
      </c>
      <c r="Q104" s="29">
        <f>Q51+Q52+Q53+Q54+Q56+Q57+Q58+Q59+Q60+Q61+Q62+Q63+Q64+Q100+Q67+Q68+Q69+Q71+Q74+Q77+Q79+Q80+Q81+Q82+Q83+Q84+Q85+Q86+Q87+Q88+Q89+Q90+Q91+Q92+Q93+Q94+Q95+Q97+Q98+Q99+Q102+Q103+Q65+Q78+Q76+Q70</f>
        <v>0</v>
      </c>
      <c r="R104" s="29">
        <f>R51+R52+R53+R54+R56+R57+R58+R59+R60+R61+R62+R63+R64+R100+R67+R68+R69+R71+R74+R77+R79+R80+R81+R82+R83+R84+R85+R86+R87+R88+R89+R90+R91+R92+R93+R94+R95+R97+R98+R99+R102+R103+R65+R78+R76+R70</f>
        <v>0</v>
      </c>
      <c r="S104" s="33"/>
      <c r="T104" s="33">
        <f t="shared" si="16"/>
        <v>17078066.130000003</v>
      </c>
      <c r="U104" s="33">
        <f>U51+U52+U53+U54+U55+U56+U57+U58+U59+U60+U61+U62+U63+U64+U65+U66+U67+U68+U69+U70+U71+U72+U73+U74+U75+U76+U77+U78+U79+U80+U81+U82+U83+U84+U85+U86+U87+U88+U89+U90+U91+U92+U93+U94+U95+U97+U98+U99+U100+U101+U102+U103</f>
        <v>784133.38</v>
      </c>
      <c r="V104" s="29">
        <f>V51+V52+V53+V54+V56+V57+V58+V59+V60+V61+V62+V63+V64+V65+V66+V67+V68+V69+V70+V71+V72+V73+V74+V75+V76+V77+V78+V79+V80+V81+V82+V83+V84+V85+V86+V87+V88+V89+V90+V91+V92+V93+V94+V95+V97+V98+V99+V100+V101+V102+V103+V55</f>
        <v>12055500</v>
      </c>
      <c r="W104" s="29">
        <f>W51+W52+W53+W54+W56+W57+W58+W59+W60+W61+W62+W63+W64+W65+W66+W67+W68+W69+W70+W71+W72+W73+W74+W75+W76+W77+W78+W79+W80+W81+W82+W83+W84+W85+W86+W87+W88+W89+W90+W91+W92+W93+W94+W95+W97+W98+W99+W100+W101+W102+W103+W55</f>
        <v>2613847</v>
      </c>
      <c r="X104" s="29">
        <f>X51+X52+X53+X54+X56+X57+X58+X59+X60+X61+X62+X63+X64+X65+X66+X67+X68+X69+X70+X71+X72+X73+X74+X75+X76+X77+X78+X79+X80+X81+X82+X83+X84+X85+X86+X87+X88+X89+X90+X91+X92+X93+X94+X95+X97+X98+X99+X100+X101+X102+X103+X55</f>
        <v>400000</v>
      </c>
      <c r="Y104" s="29">
        <f>Y51+Y52+Y53+Y54+Y56+Y57+Y58+Y59+Y60+Y61+Y62+Y63+Y64+Y65+Y66+Y67+Y68+Y69+Y70+Y71+Y72+Y73+Y74+Y75+Y76+Y77+Y78+Y79+Y80+Y81+Y82+Y83+Y84+Y85+Y86+Y87+Y88+Y89+Y90+Y91+Y92+Y93+Y94+Y95+Y97+Y98+Y99+Y100+Y101+Y102+Y103+Y55</f>
        <v>0</v>
      </c>
      <c r="Z104" s="29">
        <f>Z51+Z52+Z53+Z54+Z56+Z57+Z58+Z59+Z60+Z61+Z62+Z63+Z64+Z65+Z66+Z67+Z68+Z69+Z70+Z71+Z72+Z73+Z74+Z75+Z76+Z77+Z78+Z79+Z80+Z81+Z82+Z83+Z84+Z85+Z86+Z87+Z88+Z89+Z90+Z91+Z92+Z93+Z94+Z95+Z97+Z98+Z99+Z100+Z101+Z102+Z103+Z55</f>
        <v>0</v>
      </c>
      <c r="AA104" s="29">
        <v>1224585.75</v>
      </c>
      <c r="AB104" s="29">
        <f>AB51+AB52+AB53+AB54+AB56+AB57+AB58+AB59+AB60+AB61+AB62+AB63+AB64+AB65+AB66+AB67+AB68+AB69+AB70+AB71+AB74+AB75+AB76+AB77+AB78+AB79+AB80+AB81+AB82+AB83+AB84+AB85+AB86+AB87+AB88+AB89+AB90+AB91+AB92+AB93+AB94+AB95+AB97+AB98+AB99+AB100+AB101+AB102+AB103</f>
        <v>0</v>
      </c>
      <c r="AC104" s="29">
        <f t="shared" ref="AC104:AI104" si="23">AC51+AC52+AC53+AC54+AC56+AC57+AC58+AC59+AC60+AC61+AC62+AC63+AC64+AC100+AC67+AC68+AC69+AC71+AC74+AC77+AC79+AC80+AC81+AC82+AC83+AC84+AC85+AC86+AC87+AC88+AC89+AC90+AC91+AC92+AC93+AC94+AC95+AC97+AC98+AC99+AC102+AC103+AC65+AC78+AC76+AC70</f>
        <v>0</v>
      </c>
      <c r="AD104" s="29"/>
      <c r="AE104" s="29">
        <f t="shared" si="23"/>
        <v>0</v>
      </c>
      <c r="AF104" s="29">
        <f>AF51+AF52+AF53+AF54+AF56+AF57+AF58+AF59+AF60+AF61+AF62+AF63+AF64+AF100+AF67+AF68+AF69+AF71+AF74+AF77+AF79+AF80+AF81+AF82+AF83+AF84+AF85+AF86+AF87+AF88+AF89+AF90+AF91+AF92+AF93+AF94+AF95+AF97+AF98+AF99+AF102+AF103+AF65+AF78+AF76+AF70</f>
        <v>0</v>
      </c>
      <c r="AG104" s="29">
        <f>AG51+AG52+AG53+AG54+AG56+AG57+AG58+AG59+AG60+AG61+AG62+AG63+AG64+AG100+AG67+AG68+AG69+AG71+AG74+AG77+AG79+AG80+AG81+AG82+AG83+AG84+AG85+AG86+AG87+AG88+AG89+AG90+AG91+AG92+AG93+AG94+AG95+AG97+AG98+AG99+AG102+AG103+AG65+AG78+AG76+AG70</f>
        <v>0</v>
      </c>
      <c r="AH104" s="29">
        <f>AH51+AH52+AH53+AH54+AH56+AH57+AH58+AH59+AH60+AH61+AH62+AH63+AH64+AH100+AH67+AH68+AH69+AH71+AH74+AH77+AH79+AH80+AH81+AH82+AH83+AH84+AH85+AH86+AH87+AH88+AH89+AH90+AH91+AH92+AH93+AH94+AH95+AH97+AH98+AH99+AH102+AH103+AH65+AH78+AH76+AH70</f>
        <v>0</v>
      </c>
      <c r="AI104" s="29">
        <f t="shared" si="23"/>
        <v>0</v>
      </c>
      <c r="AJ104" s="29">
        <f>AJ51+AJ52+AJ53+AJ54+AJ56+AJ57+AJ58+AJ59+AJ60+AJ61+AJ62+AJ63+AJ64+AJ65+AJ66+AJ67+AJ68+AJ69+AJ70+AJ71+AJ74+AJ75+AJ76+AJ77+AJ78+AJ79+AJ80+AJ81+AJ82+AJ83+AJ84+AJ85+AJ86+AJ87+AJ88+AJ89+AJ90+AJ91+AJ92+AJ93+AJ94+AJ95+AJ97+AJ98+AJ99+AJ100+AJ102+AJ103</f>
        <v>0</v>
      </c>
      <c r="AK104" s="29">
        <f>AK51+AK52+AK53+AK54+AK55+AK56+AK57+AK58+AK59+AK60+AK61+AK62+AK63+AK64+AK65+AK66+AK67+AK68+AK69+AK70+AK71+AK72+AK73+AK74+AK75+AK76+AK77+AK78+AK79+AK80+AK81+AK82+AK83+AK84+AK85+AK86+AK87+AK88+AK89+AK90+AK91+AK92+AK93+AK94+AK95+AK96+AK97+AK98+AK99+AK100+AK101+AK102+AK103</f>
        <v>6915000</v>
      </c>
      <c r="AL104" s="29">
        <f>AL51+AL52+AL53+AL54+AL56+AL57+AL58+AL59+AL60+AL61+AL62+AL63+AL64+AL100+AL67+AL68+AL69+AL71+AL74+AL77+AL79+AL80+AL81+AL82+AL83+AL84+AL85+AL86+AL87+AL88+AL89+AL90+AL91+AL92+AL93+AL94+AL95+AL97+AL98+AL99+AL102+AL103+AL65+AL78+AL76+AL70</f>
        <v>0</v>
      </c>
      <c r="AM104" s="29">
        <f>AM51+AM52+AM53+AM54+AM56+AM57+AM58+AM59+AM60+AM61+AM62+AM63+AM64+AM100+AM67+AM68+AM69+AM71+AM74+AM77+AM79+AM80+AM81+AM82+AM83+AM84+AM85+AM86+AM87+AM88+AM89+AM90+AM91+AM92+AM93+AM94+AM95+AM97+AM98+AM99+AM102+AM103+AM65+AM78+AM76+AM70</f>
        <v>0</v>
      </c>
      <c r="AN104" s="29">
        <f>AN51+AN52+AN53+AN54+AN56+AN57+AN58+AN59+AN60+AN61+AN62+AN63+AN64+AN100+AN67+AN68+AN69+AN71+AN74+AN77+AN79+AN80+AN81+AN82+AN83+AN84+AN85+AN86+AN87+AN88+AN89+AN90+AN91+AN92+AN93+AN94+AN95+AN97+AN98+AN99+AN102+AN103+AN65+AN78+AN76+AN70</f>
        <v>0</v>
      </c>
      <c r="AO104" s="29">
        <f>AO51+AO52+AO53+AO54+AO56+AO57+AO58+AO59+AO60+AO61+AO62+AO63+AO64+AO100+AO67+AO68+AO69+AO71+AO74+AO77+AO79+AO80+AO81+AO82+AO83+AO84+AO85+AO86+AO87+AO88+AO89+AO90+AO91+AO92+AO93+AO94+AO95+AO97+AO98+AO99+AO102+AO103+AO65+AO78+AO76+AO70</f>
        <v>0</v>
      </c>
      <c r="AP104" s="29">
        <f>AP51+AP52+AP53+AP54+AP56+AP57+AP58+AP59+AP60+AP61+AP62+AP63+AP64+AP100+AP67+AP68+AP69+AP71+AP74+AP77+AP79+AP80+AP81+AP82+AP83+AP84+AP85+AP86+AP87+AP88+AP89+AP90+AP91+AP92+AP93+AP94+AP95+AP97+AP98+AP99+AP102+AP103+AP65+AP78+AP76+AP70+AP101+AP66+AP73</f>
        <v>2750000</v>
      </c>
      <c r="AQ104" s="29">
        <f t="shared" ref="AQ104:AV104" si="24">AQ51+AQ52+AQ53+AQ54+AQ56+AQ57+AQ58+AQ59+AQ60+AQ61+AQ62+AQ63+AQ64+AQ100+AQ67+AQ68+AQ69+AQ71+AQ74+AQ77+AQ79+AQ80+AQ81+AQ82+AQ83+AQ84+AQ85+AQ86+AQ87+AQ88+AQ89+AQ90+AQ91+AQ92+AQ93+AQ94+AQ95+AQ97+AQ98+AQ99+AQ102+AQ103+AQ65+AQ78+AQ76+AQ70</f>
        <v>0</v>
      </c>
      <c r="AR104" s="29">
        <f t="shared" si="24"/>
        <v>0</v>
      </c>
      <c r="AS104" s="29">
        <f t="shared" si="24"/>
        <v>0</v>
      </c>
      <c r="AT104" s="29">
        <f t="shared" si="24"/>
        <v>1250000</v>
      </c>
      <c r="AU104" s="29">
        <f t="shared" si="24"/>
        <v>0</v>
      </c>
      <c r="AV104" s="29">
        <f t="shared" si="24"/>
        <v>0</v>
      </c>
      <c r="AW104" s="33">
        <f>SUM(C104:AV104)-U104-V104-W104-X104-Y104-Z104-AA104-AH104-K104-L104-M104</f>
        <v>68506409.13000001</v>
      </c>
      <c r="AX104" s="29">
        <f>AX51+AX52+AX53+AX54+AX56+AX57+AX58+AX59+AX60+AX61+AX62+AX63+AX64+AX100+AX67+AX68+AX69+AX71+AX74+AX77+AX79+AX80+AX81+AX82+AX83+AX84+AX85+AX86+AX87+AX88+AX89+AX90+AX91+AX92+AX93+AX94+AX95+AX97+AX98+AX99+AX102+AX103+AX65+AX78+AX76+AX70</f>
        <v>0</v>
      </c>
      <c r="AY104" s="29"/>
      <c r="AZ104" s="29">
        <f>AZ51+AZ52+AZ53+AZ54+AZ56+AZ57+AZ58+AZ59+AZ60+AZ61+AZ62+AZ63+AZ64+AZ100+AZ67+AZ68+AZ69+AZ71+AZ74+AZ77+AZ79+AZ80+AZ81+AZ82+AZ83+AZ84+AZ85+AZ86+AZ87+AZ88+AZ89+AZ90+AZ91+AZ92+AZ93+AZ94+AZ95+AZ97+AZ98+AZ99+AZ102+AZ103+AZ65+AZ78+AZ76+AZ70</f>
        <v>1000000</v>
      </c>
      <c r="BA104" s="29">
        <f>BA51+BA52+BA53+BA54+BA56+BA57+BA58+BA59+BA60+BA61+BA62+BA63+BA64+BA100+BA67+BA68+BA69+BA71+BA74+BA77+BA79+BA80+BA81+BA82+BA83+BA84+BA85+BA86+BA87+BA88+BA89+BA90+BA91+BA92+BA93+BA94+BA95+BA97+BA98+BA99+BA102+BA103+BA65+BA78+BA76+BA70</f>
        <v>2500000</v>
      </c>
      <c r="BB104" s="29">
        <f>BB51+BB52+BB53+BB54+BB56+BB57+BB58+BB59+BB60+BB61+BB62+BB63+BB64+BB100+BB67+BB68+BB69+BB71+BB74+BB77+BB79+BB80+BB81+BB82+BB83+BB84+BB85+BB86+BB87+BB88+BB89+BB90+BB91+BB92+BB93+BB94+BB95+BB97+BB98+BB99+BB102+BB103+BB65+BB78+BB76+BB70</f>
        <v>15000000</v>
      </c>
      <c r="BC104" s="29">
        <f>BC51+BC52+BC53+BC54+BC56+BC57+BC58+BC59+BC60+BC61+BC62+BC63+BC64+BC100+BC67+BC68+BC69+BC71+BC74+BC77+BC79+BC80+BC81+BC82+BC83+BC84+BC85+BC86+BC87+BC88+BC89+BC90+BC91+BC92+BC93+BC94+BC95+BC97+BC98+BC99+BC102+BC103+BC65+BC78+BC76+BC70</f>
        <v>0</v>
      </c>
      <c r="BD104" s="29">
        <f>BD51+BD52+BD53+BD54+BD56+BD57+BD58+BD59+BD60+BD61+BD62+BD63+BD64+BD100+BD67+BD68+BD69+BD71+BD74+BD77+BD79+BD80+BD81+BD82+BD83+BD84+BD85+BD86+BD87+BD88+BD89+BD90+BD91+BD92+BD93+BD94+BD95+BD97+BD98+BD99+BD102+BD103+BD65+BD78+BD76+BD70+BD66+BD75</f>
        <v>263299</v>
      </c>
      <c r="BE104" s="29">
        <f>BE51+BE52+BE53+BE54+BE56+BE57+BE58+BE59+BE60+BE61+BE62+BE63+BE64+BE100+BE67+BE68+BE69+BE71+BE74+BE77+BE79+BE80+BE81+BE82+BE83+BE84+BE85+BE86+BE87+BE88+BE89+BE90+BE91+BE92+BE93+BE94+BE95+BE97+BE98+BE99+BE102+BE103+BE65+BE78+BE76+BE70+BE66</f>
        <v>0</v>
      </c>
      <c r="BF104" s="29">
        <f>BF51+BF52+BF53+BF54+BF56+BF57+BF58+BF59+BF60+BF61+BF62+BF63+BF64+BF100+BF67+BF68+BF69+BF71+BF74+BF77+BF79+BF80+BF81+BF82+BF83+BF84+BF85+BF86+BF87+BF88+BF89+BF90+BF91+BF92+BF93+BF94+BF95+BF97+BF98+BF99+BF102+BF103+BF65+BF78+BF76+BF70+BF66</f>
        <v>0</v>
      </c>
      <c r="BG104" s="29">
        <f>BG51+BG52+BG53+BG54+BG56+BG57+BG58+BG59+BG60+BG61+BG62+BG63+BG64+BG100+BG67+BG68+BG69+BG71+BG74+BG77+BG79+BG80+BG81+BG82+BG83+BG84+BG85+BG86+BG87+BG88+BG89+BG90+BG91+BG92+BG93+BG94+BG95+BG97+BG98+BG99+BG102+BG103+BG65+BG78+BG76+BG70+BG66</f>
        <v>0</v>
      </c>
      <c r="BH104" s="33">
        <f t="shared" si="22"/>
        <v>18763299</v>
      </c>
      <c r="BI104" s="29">
        <f>BI51+BI52+BI53+BI54+BI56+BI57+BI58+BI59+BI60+BI61+BI62+BI63+BI64+BI100+BI67+BI68+BI69+BI71+BI74+BI77+BI79+BI80+BI81+BI82+BI83+BI84+BI85+BI86+BI87+BI88+BI89+BI90+BI91+BI92+BI93+BI94+BI95+BI97+BI98+BI99+BI102+BI103+BI65+BI78+BI76+BI70</f>
        <v>0</v>
      </c>
    </row>
    <row r="105" spans="1:61" ht="70.5" customHeight="1" x14ac:dyDescent="0.8">
      <c r="A105" s="12" t="s">
        <v>226</v>
      </c>
      <c r="B105" s="13" t="s">
        <v>227</v>
      </c>
      <c r="C105" s="29"/>
      <c r="D105" s="29"/>
      <c r="E105" s="29"/>
      <c r="F105" s="29"/>
      <c r="G105" s="29"/>
      <c r="H105" s="29"/>
      <c r="I105" s="29"/>
      <c r="J105" s="33"/>
      <c r="K105" s="29"/>
      <c r="L105" s="29"/>
      <c r="M105" s="29"/>
      <c r="N105" s="29"/>
      <c r="O105" s="29"/>
      <c r="P105" s="29"/>
      <c r="Q105" s="29"/>
      <c r="R105" s="29"/>
      <c r="S105" s="33"/>
      <c r="T105" s="33">
        <f t="shared" si="16"/>
        <v>0</v>
      </c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33"/>
      <c r="AV105" s="33"/>
      <c r="AW105" s="33">
        <f t="shared" si="20"/>
        <v>0</v>
      </c>
      <c r="AX105" s="33">
        <v>6399600</v>
      </c>
      <c r="AY105" s="33"/>
      <c r="AZ105" s="29"/>
      <c r="BA105" s="29"/>
      <c r="BB105" s="29"/>
      <c r="BC105" s="29"/>
      <c r="BD105" s="29"/>
      <c r="BE105" s="29"/>
      <c r="BF105" s="29"/>
      <c r="BG105" s="29"/>
      <c r="BH105" s="33">
        <f t="shared" si="22"/>
        <v>6399600</v>
      </c>
      <c r="BI105" s="29"/>
    </row>
    <row r="106" spans="1:61" ht="70.5" customHeight="1" x14ac:dyDescent="0.8">
      <c r="A106" s="12" t="s">
        <v>238</v>
      </c>
      <c r="B106" s="13" t="s">
        <v>239</v>
      </c>
      <c r="C106" s="29"/>
      <c r="D106" s="29"/>
      <c r="E106" s="29"/>
      <c r="F106" s="29"/>
      <c r="G106" s="29"/>
      <c r="H106" s="29"/>
      <c r="I106" s="29"/>
      <c r="J106" s="33"/>
      <c r="K106" s="29"/>
      <c r="L106" s="29"/>
      <c r="M106" s="29"/>
      <c r="N106" s="29"/>
      <c r="O106" s="29"/>
      <c r="P106" s="29"/>
      <c r="Q106" s="29"/>
      <c r="R106" s="29"/>
      <c r="S106" s="33"/>
      <c r="T106" s="33">
        <f t="shared" si="16"/>
        <v>0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33"/>
      <c r="AV106" s="33"/>
      <c r="AW106" s="33">
        <f t="shared" si="20"/>
        <v>0</v>
      </c>
      <c r="AX106" s="33"/>
      <c r="AY106" s="33">
        <v>250000</v>
      </c>
      <c r="AZ106" s="29"/>
      <c r="BA106" s="29"/>
      <c r="BB106" s="29"/>
      <c r="BC106" s="29"/>
      <c r="BD106" s="29"/>
      <c r="BE106" s="29"/>
      <c r="BF106" s="29"/>
      <c r="BG106" s="29"/>
      <c r="BH106" s="33">
        <f t="shared" si="22"/>
        <v>250000</v>
      </c>
      <c r="BI106" s="29"/>
    </row>
    <row r="107" spans="1:61" s="14" customFormat="1" ht="70.5" customHeight="1" x14ac:dyDescent="0.8">
      <c r="A107" s="12" t="s">
        <v>9</v>
      </c>
      <c r="B107" s="13" t="s">
        <v>10</v>
      </c>
      <c r="C107" s="30"/>
      <c r="D107" s="30">
        <v>79419500</v>
      </c>
      <c r="E107" s="30"/>
      <c r="F107" s="30"/>
      <c r="G107" s="30"/>
      <c r="H107" s="29"/>
      <c r="I107" s="29"/>
      <c r="J107" s="33">
        <f>K107</f>
        <v>0</v>
      </c>
      <c r="K107" s="29"/>
      <c r="L107" s="29"/>
      <c r="M107" s="29"/>
      <c r="N107" s="29"/>
      <c r="O107" s="29"/>
      <c r="P107" s="29"/>
      <c r="Q107" s="29">
        <v>56547900</v>
      </c>
      <c r="R107" s="29">
        <v>10049200</v>
      </c>
      <c r="S107" s="33">
        <v>41542000</v>
      </c>
      <c r="T107" s="33">
        <f t="shared" si="16"/>
        <v>0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>
        <v>1000000</v>
      </c>
      <c r="AM107" s="29">
        <v>1000000</v>
      </c>
      <c r="AN107" s="29"/>
      <c r="AO107" s="29"/>
      <c r="AP107" s="29"/>
      <c r="AQ107" s="29"/>
      <c r="AR107" s="29"/>
      <c r="AS107" s="29">
        <v>7000000</v>
      </c>
      <c r="AT107" s="29">
        <f>13770000-3500000</f>
        <v>10270000</v>
      </c>
      <c r="AU107" s="33"/>
      <c r="AV107" s="33"/>
      <c r="AW107" s="33">
        <f t="shared" si="20"/>
        <v>206828600</v>
      </c>
      <c r="AX107" s="33"/>
      <c r="AY107" s="33"/>
      <c r="AZ107" s="29"/>
      <c r="BA107" s="29"/>
      <c r="BB107" s="29"/>
      <c r="BC107" s="29"/>
      <c r="BD107" s="29"/>
      <c r="BE107" s="29"/>
      <c r="BF107" s="29"/>
      <c r="BG107" s="29"/>
      <c r="BH107" s="33">
        <f t="shared" si="22"/>
        <v>0</v>
      </c>
      <c r="BI107" s="29"/>
    </row>
    <row r="108" spans="1:61" s="14" customFormat="1" ht="70.5" customHeight="1" x14ac:dyDescent="0.8">
      <c r="A108" s="12"/>
      <c r="B108" s="13" t="s">
        <v>11</v>
      </c>
      <c r="C108" s="30">
        <f>553836900-194542300</f>
        <v>359294600</v>
      </c>
      <c r="D108" s="30"/>
      <c r="E108" s="30"/>
      <c r="F108" s="30"/>
      <c r="G108" s="30"/>
      <c r="H108" s="29"/>
      <c r="I108" s="29"/>
      <c r="J108" s="33">
        <f>K108</f>
        <v>0</v>
      </c>
      <c r="K108" s="29"/>
      <c r="L108" s="29"/>
      <c r="M108" s="29"/>
      <c r="N108" s="29"/>
      <c r="O108" s="29"/>
      <c r="P108" s="29"/>
      <c r="Q108" s="29"/>
      <c r="R108" s="29"/>
      <c r="S108" s="33"/>
      <c r="T108" s="33">
        <f t="shared" si="16"/>
        <v>0</v>
      </c>
      <c r="U108" s="29"/>
      <c r="V108" s="29"/>
      <c r="W108" s="29"/>
      <c r="X108" s="29"/>
      <c r="Y108" s="29"/>
      <c r="Z108" s="29"/>
      <c r="AA108" s="29"/>
      <c r="AB108" s="29">
        <v>2729663.35</v>
      </c>
      <c r="AC108" s="29">
        <v>9000000</v>
      </c>
      <c r="AD108" s="29">
        <v>2000000</v>
      </c>
      <c r="AE108" s="29">
        <v>20800000</v>
      </c>
      <c r="AF108" s="29">
        <f>23877400+30289261</f>
        <v>54166661</v>
      </c>
      <c r="AG108" s="29">
        <f>9495000+20695491</f>
        <v>30190491</v>
      </c>
      <c r="AH108" s="29">
        <v>8717677</v>
      </c>
      <c r="AI108" s="29">
        <v>11000000</v>
      </c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33"/>
      <c r="AV108" s="33"/>
      <c r="AW108" s="33">
        <f t="shared" si="20"/>
        <v>489181415.35000002</v>
      </c>
      <c r="AX108" s="33"/>
      <c r="AY108" s="33"/>
      <c r="AZ108" s="29"/>
      <c r="BA108" s="29"/>
      <c r="BB108" s="29"/>
      <c r="BC108" s="29"/>
      <c r="BD108" s="29"/>
      <c r="BE108" s="29"/>
      <c r="BF108" s="29"/>
      <c r="BG108" s="29"/>
      <c r="BH108" s="33">
        <f t="shared" si="22"/>
        <v>0</v>
      </c>
      <c r="BI108" s="29"/>
    </row>
    <row r="109" spans="1:61" s="15" customFormat="1" ht="70.5" customHeight="1" x14ac:dyDescent="0.8">
      <c r="A109" s="12"/>
      <c r="B109" s="13" t="s">
        <v>168</v>
      </c>
      <c r="C109" s="30">
        <f>C26+C49+C107+C108+C104+C105</f>
        <v>359294600</v>
      </c>
      <c r="D109" s="30">
        <f>D26+D49+D107+D108+D104+D105</f>
        <v>189419500</v>
      </c>
      <c r="E109" s="30">
        <f t="shared" ref="E109:S109" si="25">E26+E49+E107+E108+E104+E105</f>
        <v>4252710900</v>
      </c>
      <c r="F109" s="30">
        <f t="shared" si="25"/>
        <v>5455127500</v>
      </c>
      <c r="G109" s="30">
        <f t="shared" si="25"/>
        <v>49732100</v>
      </c>
      <c r="H109" s="30">
        <f t="shared" si="25"/>
        <v>128297700</v>
      </c>
      <c r="I109" s="30">
        <f t="shared" si="25"/>
        <v>1114357</v>
      </c>
      <c r="J109" s="30">
        <f>J26+J49+J107+J108+J104+J105</f>
        <v>1537800</v>
      </c>
      <c r="K109" s="30">
        <f>K26+K49+K107+K108+K104+K105</f>
        <v>141700</v>
      </c>
      <c r="L109" s="30">
        <f>L26+L49+L107+L108+L104+L105</f>
        <v>1389000</v>
      </c>
      <c r="M109" s="30">
        <f>M26+M49+M107+M108+M104+M105</f>
        <v>7100</v>
      </c>
      <c r="N109" s="30">
        <f>N26+N49+N107+N108+N104+N105</f>
        <v>65173600</v>
      </c>
      <c r="O109" s="30">
        <f t="shared" si="25"/>
        <v>9827790.3900000006</v>
      </c>
      <c r="P109" s="30">
        <f t="shared" si="25"/>
        <v>83248400</v>
      </c>
      <c r="Q109" s="30">
        <f t="shared" si="25"/>
        <v>56547900</v>
      </c>
      <c r="R109" s="30">
        <f t="shared" si="25"/>
        <v>10049200</v>
      </c>
      <c r="S109" s="30">
        <f t="shared" si="25"/>
        <v>41542000</v>
      </c>
      <c r="T109" s="33">
        <f t="shared" si="16"/>
        <v>65223919.130000003</v>
      </c>
      <c r="U109" s="30">
        <f t="shared" ref="U109:AV109" si="26">U26+U49+U107+U108+U104+U105</f>
        <v>10784133.380000001</v>
      </c>
      <c r="V109" s="30">
        <f t="shared" si="26"/>
        <v>32148300</v>
      </c>
      <c r="W109" s="30">
        <f t="shared" si="26"/>
        <v>13713900</v>
      </c>
      <c r="X109" s="30">
        <f t="shared" si="26"/>
        <v>1600000</v>
      </c>
      <c r="Y109" s="30">
        <f t="shared" si="26"/>
        <v>4280000</v>
      </c>
      <c r="Z109" s="30">
        <f t="shared" si="26"/>
        <v>1473000</v>
      </c>
      <c r="AA109" s="30">
        <f t="shared" si="26"/>
        <v>1224585.75</v>
      </c>
      <c r="AB109" s="30">
        <f t="shared" si="26"/>
        <v>2729663.35</v>
      </c>
      <c r="AC109" s="30">
        <f t="shared" si="26"/>
        <v>9000000</v>
      </c>
      <c r="AD109" s="30">
        <f>AD26+AD49+AD107+AD108+AD104+AD105</f>
        <v>2000000</v>
      </c>
      <c r="AE109" s="30">
        <f t="shared" si="26"/>
        <v>20800000</v>
      </c>
      <c r="AF109" s="30">
        <f>AF26+AF49+AF107+AF108+AF104+AF105</f>
        <v>54166661</v>
      </c>
      <c r="AG109" s="30">
        <f>AG26+AG49+AG107+AG108+AG104+AG105</f>
        <v>30190491</v>
      </c>
      <c r="AH109" s="30">
        <f>AH26+AH49+AH107+AH108+AH104+AH105</f>
        <v>8717677</v>
      </c>
      <c r="AI109" s="30">
        <f t="shared" si="26"/>
        <v>11000000</v>
      </c>
      <c r="AJ109" s="30">
        <f t="shared" si="26"/>
        <v>300000</v>
      </c>
      <c r="AK109" s="30">
        <f>AK26+AK49+AK107+AK108+AK104+AK105</f>
        <v>60000000</v>
      </c>
      <c r="AL109" s="30">
        <f t="shared" si="26"/>
        <v>1000000</v>
      </c>
      <c r="AM109" s="30">
        <f t="shared" si="26"/>
        <v>1000000</v>
      </c>
      <c r="AN109" s="30">
        <f t="shared" si="26"/>
        <v>6000000</v>
      </c>
      <c r="AO109" s="30">
        <f t="shared" si="26"/>
        <v>9000000</v>
      </c>
      <c r="AP109" s="30">
        <f t="shared" si="26"/>
        <v>17600000</v>
      </c>
      <c r="AQ109" s="30">
        <f t="shared" si="26"/>
        <v>130000</v>
      </c>
      <c r="AR109" s="30">
        <f t="shared" si="26"/>
        <v>2000000</v>
      </c>
      <c r="AS109" s="30">
        <f t="shared" si="26"/>
        <v>7000000</v>
      </c>
      <c r="AT109" s="30">
        <f>AT26+AT49+AT107+AT108+AT104+AT105</f>
        <v>13770000</v>
      </c>
      <c r="AU109" s="30">
        <f t="shared" si="26"/>
        <v>18000000</v>
      </c>
      <c r="AV109" s="30">
        <f t="shared" si="26"/>
        <v>25000000</v>
      </c>
      <c r="AW109" s="33">
        <f>SUM(C109:AV109)-U109-V109-W109-X109-Y109-Z109-AA109-AH109-K109-L109-M109</f>
        <v>11059534081.869999</v>
      </c>
      <c r="AX109" s="30">
        <f>AX26+AX49+AX107+AX108+AX104+AX105</f>
        <v>6399600</v>
      </c>
      <c r="AY109" s="30">
        <f>AY26+AY49+AY107+AY108+AY104+AY105+AY106</f>
        <v>250000</v>
      </c>
      <c r="AZ109" s="30">
        <f t="shared" ref="AZ109:BG109" si="27">AZ26+AZ49+AZ107+AZ108+AZ104+AZ105</f>
        <v>1000000</v>
      </c>
      <c r="BA109" s="30">
        <f t="shared" si="27"/>
        <v>11950000</v>
      </c>
      <c r="BB109" s="30">
        <f t="shared" si="27"/>
        <v>49500000</v>
      </c>
      <c r="BC109" s="30">
        <f t="shared" si="27"/>
        <v>73086</v>
      </c>
      <c r="BD109" s="30">
        <f t="shared" si="27"/>
        <v>741145</v>
      </c>
      <c r="BE109" s="30">
        <f t="shared" si="27"/>
        <v>2150000</v>
      </c>
      <c r="BF109" s="30">
        <f>BF26+BF49+BF107+BF108+BF104+BF105</f>
        <v>98000</v>
      </c>
      <c r="BG109" s="30">
        <f t="shared" si="27"/>
        <v>1098700</v>
      </c>
      <c r="BH109" s="33">
        <f t="shared" si="22"/>
        <v>73260531</v>
      </c>
      <c r="BI109" s="30">
        <f>BI26+BI49+BI107+BI108+BI104</f>
        <v>0</v>
      </c>
    </row>
    <row r="110" spans="1:61" s="20" customFormat="1" ht="36" customHeight="1" x14ac:dyDescent="0.8">
      <c r="A110" s="16"/>
      <c r="B110" s="17"/>
      <c r="C110" s="17"/>
      <c r="D110" s="17"/>
      <c r="E110" s="19"/>
      <c r="F110" s="19"/>
      <c r="G110" s="19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</row>
    <row r="111" spans="1:61" s="23" customFormat="1" ht="89.25" customHeight="1" x14ac:dyDescent="1.05">
      <c r="A111" s="21"/>
      <c r="B111" s="21"/>
      <c r="C111" s="21"/>
      <c r="D111" s="21"/>
      <c r="E111" s="22"/>
      <c r="F111" s="22"/>
      <c r="G111" s="22"/>
      <c r="AD111" s="28"/>
      <c r="AG111" s="28"/>
      <c r="AH111" s="28"/>
      <c r="AK111" s="28"/>
      <c r="AL111" s="28"/>
      <c r="AR111" s="28"/>
      <c r="AS111" s="28"/>
      <c r="AZ111" s="28"/>
      <c r="BA111" s="28"/>
      <c r="BB111" s="28"/>
      <c r="BC111" s="28"/>
      <c r="BE111" s="110" t="s">
        <v>100</v>
      </c>
      <c r="BF111" s="110"/>
      <c r="BG111" s="28"/>
      <c r="BH111" s="28" t="s">
        <v>284</v>
      </c>
      <c r="BI111" s="28"/>
    </row>
    <row r="112" spans="1:61" ht="25.5" x14ac:dyDescent="0.35">
      <c r="A112" s="24"/>
      <c r="B112" s="24"/>
      <c r="C112" s="24"/>
      <c r="D112" s="24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W112" s="26"/>
      <c r="AX112" s="26"/>
      <c r="AY112" s="26"/>
    </row>
    <row r="113" spans="1:51" ht="25.5" x14ac:dyDescent="0.35">
      <c r="A113" s="24"/>
      <c r="B113" s="24"/>
      <c r="C113" s="24"/>
      <c r="D113" s="24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W113" s="26"/>
      <c r="AX113" s="26"/>
      <c r="AY113" s="26"/>
    </row>
    <row r="114" spans="1:51" ht="25.5" x14ac:dyDescent="0.35">
      <c r="A114" s="24"/>
      <c r="B114" s="24"/>
      <c r="C114" s="24"/>
      <c r="D114" s="24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W114" s="26"/>
      <c r="AX114" s="26"/>
      <c r="AY114" s="26"/>
    </row>
    <row r="115" spans="1:51" s="26" customFormat="1" ht="59.25" x14ac:dyDescent="0.35">
      <c r="A115" s="36"/>
      <c r="B115" s="36"/>
      <c r="C115" s="36"/>
      <c r="D115" s="36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W115" s="38"/>
      <c r="AX115" s="38"/>
      <c r="AY115" s="38"/>
    </row>
    <row r="116" spans="1:51" s="26" customFormat="1" ht="25.5" x14ac:dyDescent="0.35">
      <c r="A116" s="36"/>
      <c r="B116" s="36"/>
      <c r="C116" s="36"/>
      <c r="D116" s="36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51" s="26" customFormat="1" ht="25.5" x14ac:dyDescent="0.35">
      <c r="A117" s="36"/>
      <c r="B117" s="36"/>
      <c r="C117" s="36"/>
      <c r="D117" s="36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51" s="26" customFormat="1" ht="25.5" x14ac:dyDescent="0.35">
      <c r="A118" s="36"/>
      <c r="B118" s="36"/>
      <c r="C118" s="36"/>
      <c r="D118" s="36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51" s="26" customFormat="1" ht="25.5" x14ac:dyDescent="0.35">
      <c r="A119" s="36"/>
      <c r="B119" s="36"/>
      <c r="C119" s="36"/>
      <c r="D119" s="36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51" s="26" customFormat="1" ht="25.5" x14ac:dyDescent="0.35">
      <c r="A120" s="36"/>
      <c r="B120" s="36"/>
      <c r="C120" s="36"/>
      <c r="D120" s="36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51" s="26" customFormat="1" ht="25.5" x14ac:dyDescent="0.35">
      <c r="A121" s="36"/>
      <c r="B121" s="36"/>
      <c r="C121" s="36"/>
      <c r="D121" s="36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51" s="26" customFormat="1" ht="25.5" x14ac:dyDescent="0.35">
      <c r="A122" s="36"/>
      <c r="B122" s="36"/>
      <c r="C122" s="36"/>
      <c r="D122" s="36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51" s="26" customFormat="1" ht="25.5" x14ac:dyDescent="0.35">
      <c r="A123" s="36"/>
      <c r="B123" s="36"/>
      <c r="C123" s="36"/>
      <c r="D123" s="36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51" ht="25.5" x14ac:dyDescent="0.35">
      <c r="A124" s="24"/>
      <c r="B124" s="24"/>
      <c r="C124" s="24"/>
      <c r="D124" s="24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51" ht="25.5" x14ac:dyDescent="0.35">
      <c r="A125" s="24"/>
      <c r="B125" s="24"/>
      <c r="C125" s="24"/>
      <c r="D125" s="24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51" ht="25.5" x14ac:dyDescent="0.35">
      <c r="A126" s="24"/>
      <c r="B126" s="24"/>
      <c r="C126" s="24"/>
      <c r="D126" s="2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51" ht="25.5" x14ac:dyDescent="0.35">
      <c r="A127" s="24"/>
      <c r="B127" s="24"/>
      <c r="C127" s="24"/>
      <c r="D127" s="24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51" ht="25.5" x14ac:dyDescent="0.35">
      <c r="A128" s="24"/>
      <c r="B128" s="24"/>
      <c r="C128" s="24"/>
      <c r="D128" s="24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8:35" x14ac:dyDescent="0.2"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8:35" x14ac:dyDescent="0.2"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8:35" x14ac:dyDescent="0.2"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8:35" x14ac:dyDescent="0.2"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8:35" x14ac:dyDescent="0.2"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8:35" x14ac:dyDescent="0.2"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8:35" x14ac:dyDescent="0.2"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8:35" x14ac:dyDescent="0.2"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8:35" x14ac:dyDescent="0.2"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8:35" x14ac:dyDescent="0.2"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8:35" x14ac:dyDescent="0.2"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8:35" x14ac:dyDescent="0.2"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8:35" x14ac:dyDescent="0.2"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8:35" x14ac:dyDescent="0.2"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8:35" x14ac:dyDescent="0.2"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8:35" x14ac:dyDescent="0.2"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8:35" x14ac:dyDescent="0.2"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8:35" x14ac:dyDescent="0.2"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8:35" x14ac:dyDescent="0.2"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8:35" x14ac:dyDescent="0.2"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8:35" x14ac:dyDescent="0.2"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8:35" x14ac:dyDescent="0.2"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</row>
    <row r="151" spans="8:35" x14ac:dyDescent="0.2"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</row>
    <row r="152" spans="8:35" x14ac:dyDescent="0.2"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</row>
    <row r="153" spans="8:35" x14ac:dyDescent="0.2"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</row>
    <row r="154" spans="8:35" x14ac:dyDescent="0.2"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</row>
    <row r="155" spans="8:35" x14ac:dyDescent="0.2"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</row>
    <row r="156" spans="8:35" x14ac:dyDescent="0.2"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</row>
    <row r="157" spans="8:35" x14ac:dyDescent="0.2"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</row>
    <row r="158" spans="8:35" x14ac:dyDescent="0.2"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</row>
    <row r="159" spans="8:35" x14ac:dyDescent="0.2"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</row>
    <row r="160" spans="8:35" x14ac:dyDescent="0.2"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</row>
    <row r="161" spans="8:35" x14ac:dyDescent="0.2"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</row>
    <row r="162" spans="8:35" x14ac:dyDescent="0.2"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</row>
    <row r="163" spans="8:35" x14ac:dyDescent="0.2"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</row>
    <row r="164" spans="8:35" x14ac:dyDescent="0.2"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</row>
    <row r="165" spans="8:35" x14ac:dyDescent="0.2"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</row>
    <row r="166" spans="8:35" x14ac:dyDescent="0.2"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</row>
    <row r="167" spans="8:35" x14ac:dyDescent="0.2"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</row>
    <row r="168" spans="8:35" x14ac:dyDescent="0.2"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</row>
    <row r="169" spans="8:35" x14ac:dyDescent="0.2"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</row>
    <row r="170" spans="8:35" x14ac:dyDescent="0.2"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</row>
    <row r="171" spans="8:35" x14ac:dyDescent="0.2"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</row>
    <row r="172" spans="8:35" x14ac:dyDescent="0.2"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</row>
    <row r="173" spans="8:35" x14ac:dyDescent="0.2"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</row>
    <row r="174" spans="8:35" x14ac:dyDescent="0.2"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</row>
    <row r="175" spans="8:35" x14ac:dyDescent="0.2"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</row>
    <row r="176" spans="8:35" x14ac:dyDescent="0.2"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</row>
    <row r="177" spans="8:35" x14ac:dyDescent="0.2"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</row>
    <row r="178" spans="8:35" x14ac:dyDescent="0.2"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</row>
    <row r="179" spans="8:35" x14ac:dyDescent="0.2"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</row>
    <row r="180" spans="8:35" x14ac:dyDescent="0.2"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</row>
    <row r="181" spans="8:35" x14ac:dyDescent="0.2"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</row>
    <row r="182" spans="8:35" x14ac:dyDescent="0.2"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</row>
    <row r="183" spans="8:35" x14ac:dyDescent="0.2"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</row>
    <row r="184" spans="8:35" x14ac:dyDescent="0.2"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</row>
    <row r="185" spans="8:35" x14ac:dyDescent="0.2"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</row>
    <row r="186" spans="8:35" x14ac:dyDescent="0.2"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</row>
    <row r="187" spans="8:35" x14ac:dyDescent="0.2"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</row>
    <row r="188" spans="8:35" x14ac:dyDescent="0.2"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</row>
    <row r="189" spans="8:35" x14ac:dyDescent="0.2"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</row>
    <row r="190" spans="8:35" x14ac:dyDescent="0.2"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</row>
    <row r="191" spans="8:35" x14ac:dyDescent="0.2"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</row>
    <row r="192" spans="8:35" x14ac:dyDescent="0.2"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</row>
    <row r="193" spans="8:35" x14ac:dyDescent="0.2"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</row>
    <row r="194" spans="8:35" x14ac:dyDescent="0.2"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</row>
    <row r="195" spans="8:35" x14ac:dyDescent="0.2"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</row>
    <row r="196" spans="8:35" x14ac:dyDescent="0.2"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</row>
    <row r="197" spans="8:35" x14ac:dyDescent="0.2"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</row>
    <row r="198" spans="8:35" x14ac:dyDescent="0.2"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</row>
    <row r="199" spans="8:35" x14ac:dyDescent="0.2"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</row>
    <row r="200" spans="8:35" x14ac:dyDescent="0.2"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</row>
    <row r="201" spans="8:35" x14ac:dyDescent="0.2"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</row>
    <row r="202" spans="8:35" x14ac:dyDescent="0.2"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</row>
    <row r="203" spans="8:35" x14ac:dyDescent="0.2"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</row>
    <row r="204" spans="8:35" x14ac:dyDescent="0.2"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</row>
    <row r="205" spans="8:35" x14ac:dyDescent="0.2"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</row>
    <row r="206" spans="8:35" x14ac:dyDescent="0.2"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</row>
    <row r="207" spans="8:35" x14ac:dyDescent="0.2"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</row>
    <row r="208" spans="8:35" x14ac:dyDescent="0.2"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</row>
    <row r="209" spans="8:35" x14ac:dyDescent="0.2"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</row>
    <row r="210" spans="8:35" x14ac:dyDescent="0.2"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</row>
    <row r="211" spans="8:35" x14ac:dyDescent="0.2"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</row>
    <row r="212" spans="8:35" x14ac:dyDescent="0.2"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</row>
    <row r="213" spans="8:35" x14ac:dyDescent="0.2"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</row>
    <row r="214" spans="8:35" x14ac:dyDescent="0.2"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</row>
    <row r="215" spans="8:35" x14ac:dyDescent="0.2"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</row>
    <row r="216" spans="8:35" x14ac:dyDescent="0.2"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</row>
    <row r="217" spans="8:35" x14ac:dyDescent="0.2"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</row>
    <row r="218" spans="8:35" x14ac:dyDescent="0.2"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</row>
    <row r="219" spans="8:35" x14ac:dyDescent="0.2"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</row>
    <row r="220" spans="8:35" x14ac:dyDescent="0.2"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</row>
    <row r="221" spans="8:35" x14ac:dyDescent="0.2"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</row>
    <row r="222" spans="8:35" x14ac:dyDescent="0.2"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</row>
    <row r="223" spans="8:35" x14ac:dyDescent="0.2"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</row>
    <row r="224" spans="8:35" x14ac:dyDescent="0.2"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</row>
    <row r="225" spans="8:35" x14ac:dyDescent="0.2"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</row>
    <row r="226" spans="8:35" x14ac:dyDescent="0.2"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</row>
    <row r="227" spans="8:35" x14ac:dyDescent="0.2"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</row>
    <row r="228" spans="8:35" x14ac:dyDescent="0.2"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</row>
    <row r="229" spans="8:35" x14ac:dyDescent="0.2"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</row>
    <row r="230" spans="8:35" x14ac:dyDescent="0.2"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</row>
    <row r="231" spans="8:35" x14ac:dyDescent="0.2"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</row>
    <row r="232" spans="8:35" x14ac:dyDescent="0.2"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</row>
    <row r="233" spans="8:35" x14ac:dyDescent="0.2"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</row>
    <row r="234" spans="8:35" x14ac:dyDescent="0.2"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</row>
    <row r="235" spans="8:35" x14ac:dyDescent="0.2"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</row>
    <row r="236" spans="8:35" x14ac:dyDescent="0.2"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</row>
    <row r="237" spans="8:35" x14ac:dyDescent="0.2"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</row>
    <row r="238" spans="8:35" x14ac:dyDescent="0.2"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</row>
    <row r="239" spans="8:35" x14ac:dyDescent="0.2"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</row>
    <row r="240" spans="8:35" x14ac:dyDescent="0.2"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</row>
    <row r="241" spans="8:35" x14ac:dyDescent="0.2"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</row>
    <row r="242" spans="8:35" x14ac:dyDescent="0.2"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</row>
    <row r="243" spans="8:35" x14ac:dyDescent="0.2"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</row>
    <row r="244" spans="8:35" x14ac:dyDescent="0.2"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</row>
    <row r="245" spans="8:35" x14ac:dyDescent="0.2"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</row>
    <row r="246" spans="8:35" x14ac:dyDescent="0.2"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</row>
    <row r="247" spans="8:35" x14ac:dyDescent="0.2"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</row>
    <row r="248" spans="8:35" x14ac:dyDescent="0.2"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</row>
    <row r="249" spans="8:35" x14ac:dyDescent="0.2"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</row>
    <row r="250" spans="8:35" x14ac:dyDescent="0.2"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</row>
    <row r="251" spans="8:35" x14ac:dyDescent="0.2"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</row>
    <row r="252" spans="8:35" x14ac:dyDescent="0.2"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</row>
    <row r="253" spans="8:35" x14ac:dyDescent="0.2"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</row>
    <row r="254" spans="8:35" x14ac:dyDescent="0.2"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</row>
    <row r="255" spans="8:35" x14ac:dyDescent="0.2"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</row>
    <row r="256" spans="8:35" x14ac:dyDescent="0.2"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</row>
    <row r="257" spans="8:35" x14ac:dyDescent="0.2"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</row>
    <row r="258" spans="8:35" x14ac:dyDescent="0.2"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</row>
    <row r="259" spans="8:35" x14ac:dyDescent="0.2"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</row>
    <row r="260" spans="8:35" x14ac:dyDescent="0.2"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</row>
    <row r="261" spans="8:35" x14ac:dyDescent="0.2"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</row>
    <row r="262" spans="8:35" x14ac:dyDescent="0.2"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</row>
    <row r="263" spans="8:35" x14ac:dyDescent="0.2"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</row>
  </sheetData>
  <sheetProtection selectLockedCells="1" selectUnlockedCells="1"/>
  <mergeCells count="106">
    <mergeCell ref="H7:M7"/>
    <mergeCell ref="BE111:BF111"/>
    <mergeCell ref="AS10:AS12"/>
    <mergeCell ref="AQ10:AQ12"/>
    <mergeCell ref="AT10:AT12"/>
    <mergeCell ref="AY10:AY12"/>
    <mergeCell ref="AR10:AR12"/>
    <mergeCell ref="BF10:BF12"/>
    <mergeCell ref="AX10:AX12"/>
    <mergeCell ref="BD10:BD12"/>
    <mergeCell ref="M11:M12"/>
    <mergeCell ref="F1:G1"/>
    <mergeCell ref="F2:G2"/>
    <mergeCell ref="C3:G3"/>
    <mergeCell ref="S10:S12"/>
    <mergeCell ref="Q10:Q12"/>
    <mergeCell ref="P10:P12"/>
    <mergeCell ref="K11:K12"/>
    <mergeCell ref="N7:R7"/>
    <mergeCell ref="C4:G4"/>
    <mergeCell ref="AF10:AF12"/>
    <mergeCell ref="AE10:AE12"/>
    <mergeCell ref="J9:M9"/>
    <mergeCell ref="T9:AA9"/>
    <mergeCell ref="W11:W12"/>
    <mergeCell ref="H10:H12"/>
    <mergeCell ref="I10:I12"/>
    <mergeCell ref="J10:J12"/>
    <mergeCell ref="K10:M10"/>
    <mergeCell ref="L11:L12"/>
    <mergeCell ref="A6:A12"/>
    <mergeCell ref="B6:B12"/>
    <mergeCell ref="E10:E12"/>
    <mergeCell ref="C10:C12"/>
    <mergeCell ref="C6:G6"/>
    <mergeCell ref="C7:G7"/>
    <mergeCell ref="E8:G8"/>
    <mergeCell ref="G10:G12"/>
    <mergeCell ref="D10:D12"/>
    <mergeCell ref="F10:F12"/>
    <mergeCell ref="BH6:BH12"/>
    <mergeCell ref="BB10:BB12"/>
    <mergeCell ref="BE10:BE12"/>
    <mergeCell ref="BG10:BG12"/>
    <mergeCell ref="BE9:BG9"/>
    <mergeCell ref="BF7:BG7"/>
    <mergeCell ref="BE6:BG6"/>
    <mergeCell ref="BC7:BD7"/>
    <mergeCell ref="AX6:BD6"/>
    <mergeCell ref="BC9:BD9"/>
    <mergeCell ref="N10:N12"/>
    <mergeCell ref="U11:U12"/>
    <mergeCell ref="Y11:Y12"/>
    <mergeCell ref="T10:T12"/>
    <mergeCell ref="O10:O12"/>
    <mergeCell ref="R10:R12"/>
    <mergeCell ref="X11:X12"/>
    <mergeCell ref="V11:V12"/>
    <mergeCell ref="BE8:BG8"/>
    <mergeCell ref="BC10:BC12"/>
    <mergeCell ref="AZ10:BA12"/>
    <mergeCell ref="AM10:AM12"/>
    <mergeCell ref="AK8:AQ8"/>
    <mergeCell ref="AK9:AM9"/>
    <mergeCell ref="AZ9:BA9"/>
    <mergeCell ref="AU10:AV12"/>
    <mergeCell ref="Z11:Z12"/>
    <mergeCell ref="AB7:AD7"/>
    <mergeCell ref="AJ10:AJ12"/>
    <mergeCell ref="AK10:AK12"/>
    <mergeCell ref="AN10:AN12"/>
    <mergeCell ref="AL10:AL12"/>
    <mergeCell ref="AG10:AG12"/>
    <mergeCell ref="AA11:AA12"/>
    <mergeCell ref="AB10:AB12"/>
    <mergeCell ref="AD10:AD12"/>
    <mergeCell ref="AS9:AT9"/>
    <mergeCell ref="N8:S8"/>
    <mergeCell ref="T6:AA6"/>
    <mergeCell ref="AI10:AI12"/>
    <mergeCell ref="AF9:AH9"/>
    <mergeCell ref="AH11:AH12"/>
    <mergeCell ref="AC10:AC12"/>
    <mergeCell ref="AJ6:AQ6"/>
    <mergeCell ref="AO10:AO12"/>
    <mergeCell ref="AP10:AP12"/>
    <mergeCell ref="AS7:AV7"/>
    <mergeCell ref="AW6:AW12"/>
    <mergeCell ref="AN9:AP9"/>
    <mergeCell ref="H6:M6"/>
    <mergeCell ref="I8:M8"/>
    <mergeCell ref="AR6:AV6"/>
    <mergeCell ref="AR8:AV8"/>
    <mergeCell ref="AB6:AI6"/>
    <mergeCell ref="AE7:AI7"/>
    <mergeCell ref="N6:S6"/>
    <mergeCell ref="AJ7:AQ7"/>
    <mergeCell ref="U10:AA10"/>
    <mergeCell ref="BC8:BD8"/>
    <mergeCell ref="BA7:BB7"/>
    <mergeCell ref="AX7:AZ7"/>
    <mergeCell ref="AX8:BA8"/>
    <mergeCell ref="T8:AA8"/>
    <mergeCell ref="V7:AA7"/>
    <mergeCell ref="T7:U7"/>
    <mergeCell ref="AB8:AI8"/>
  </mergeCells>
  <phoneticPr fontId="0" type="noConversion"/>
  <printOptions horizontalCentered="1"/>
  <pageMargins left="0.6692913385826772" right="0.35433070866141736" top="0.34" bottom="0.33" header="0.3" footer="0.27"/>
  <pageSetup paperSize="9" scale="10" firstPageNumber="0" orientation="portrait" horizontalDpi="300" verticalDpi="300" r:id="rId1"/>
  <headerFooter differentFirst="1" alignWithMargins="0">
    <oddHeader>&amp;C&amp;"Times New Roman,обычный"&amp;54&amp;P</oddHeader>
  </headerFooter>
  <colBreaks count="4" manualBreakCount="4">
    <brk id="7" max="109" man="1"/>
    <brk id="13" max="109" man="1"/>
    <brk id="19" max="109" man="1"/>
    <brk id="49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</vt:lpstr>
      <vt:lpstr>'Дод 4'!Заголовки_для_печати</vt:lpstr>
      <vt:lpstr>'Дод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2018-03-13T15:51:26Z</cp:lastPrinted>
  <dcterms:created xsi:type="dcterms:W3CDTF">2015-09-22T09:14:37Z</dcterms:created>
  <dcterms:modified xsi:type="dcterms:W3CDTF">2018-03-14T13:04:30Z</dcterms:modified>
</cp:coreProperties>
</file>