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150" windowWidth="10890" windowHeight="9765"/>
  </bookViews>
  <sheets>
    <sheet name="7" sheetId="19" r:id="rId1"/>
  </sheets>
  <definedNames>
    <definedName name="_GoBack" localSheetId="0">'7'!#REF!</definedName>
    <definedName name="Z_48EF5860_4203_47F1_8497_6BEAE9FC7DAC_.wvu.Cols" localSheetId="0" hidden="1">'7'!#REF!</definedName>
    <definedName name="Z_48EF5860_4203_47F1_8497_6BEAE9FC7DAC_.wvu.PrintArea" localSheetId="0" hidden="1">'7'!$A$1:$J$746</definedName>
    <definedName name="Z_48EF5860_4203_47F1_8497_6BEAE9FC7DAC_.wvu.PrintTitles" localSheetId="0" hidden="1">'7'!$E:$F,'7'!#REF!</definedName>
    <definedName name="Z_96E2A35E_4A48_419F_9E38_8CEFA5D27C66_.wvu.Cols" localSheetId="0" hidden="1">'7'!#REF!</definedName>
    <definedName name="Z_96E2A35E_4A48_419F_9E38_8CEFA5D27C66_.wvu.PrintArea" localSheetId="0" hidden="1">'7'!$A$1:$J$746</definedName>
    <definedName name="Z_96E2A35E_4A48_419F_9E38_8CEFA5D27C66_.wvu.PrintTitles" localSheetId="0" hidden="1">'7'!$E:$F,'7'!#REF!</definedName>
    <definedName name="Z_ABBD498D_3D2F_4E62_985A_EF1DC4D9DC47_.wvu.Cols" localSheetId="0" hidden="1">'7'!#REF!</definedName>
    <definedName name="Z_ABBD498D_3D2F_4E62_985A_EF1DC4D9DC47_.wvu.PrintArea" localSheetId="0" hidden="1">'7'!$A$1:$J$746</definedName>
    <definedName name="Z_ABBD498D_3D2F_4E62_985A_EF1DC4D9DC47_.wvu.PrintTitles" localSheetId="0" hidden="1">'7'!$E:$F,'7'!#REF!</definedName>
    <definedName name="Z_D712F871_6858_44B8_AA22_8F2C734047E2_.wvu.Cols" localSheetId="0" hidden="1">'7'!#REF!</definedName>
    <definedName name="Z_D712F871_6858_44B8_AA22_8F2C734047E2_.wvu.PrintArea" localSheetId="0" hidden="1">'7'!$A$1:$J$746</definedName>
    <definedName name="Z_D712F871_6858_44B8_AA22_8F2C734047E2_.wvu.PrintTitles" localSheetId="0" hidden="1">'7'!$E:$F,'7'!#REF!</definedName>
    <definedName name="Z_E02D48B6_D0D9_4E6E_B70D_8E13580A6528_.wvu.Cols" localSheetId="0" hidden="1">'7'!#REF!</definedName>
    <definedName name="Z_E02D48B6_D0D9_4E6E_B70D_8E13580A6528_.wvu.PrintArea" localSheetId="0" hidden="1">'7'!$A$1:$J$746</definedName>
    <definedName name="Z_E02D48B6_D0D9_4E6E_B70D_8E13580A6528_.wvu.PrintTitles" localSheetId="0" hidden="1">'7'!$E:$F,'7'!#REF!</definedName>
    <definedName name="_xlnm.Print_Titles" localSheetId="0">'7'!$6:$7</definedName>
    <definedName name="_xlnm.Print_Area" localSheetId="0">'7'!$A$1:$J$740</definedName>
  </definedNames>
  <calcPr calcId="191028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5" i="19" l="1"/>
  <c r="J152" i="19"/>
  <c r="J142" i="19"/>
  <c r="J150" i="19"/>
  <c r="J161" i="19"/>
  <c r="J163" i="19"/>
  <c r="J166" i="19"/>
  <c r="J140" i="19"/>
  <c r="J181" i="19"/>
  <c r="J188" i="19"/>
  <c r="J192" i="19"/>
  <c r="J195" i="19"/>
  <c r="J208" i="19"/>
  <c r="J213" i="19"/>
  <c r="J215" i="19"/>
  <c r="J230" i="19"/>
  <c r="J235" i="19"/>
  <c r="J236" i="19"/>
  <c r="J239" i="19"/>
  <c r="J243" i="19"/>
  <c r="J252" i="19"/>
  <c r="J264" i="19"/>
  <c r="J267" i="19"/>
  <c r="J275" i="19"/>
  <c r="J217" i="19"/>
  <c r="J218" i="19"/>
  <c r="J254" i="19"/>
  <c r="J280" i="19"/>
  <c r="J282" i="19"/>
  <c r="J269" i="19"/>
  <c r="J124" i="19"/>
  <c r="J125" i="19"/>
  <c r="J50" i="19"/>
  <c r="J12" i="19"/>
  <c r="J119" i="19"/>
  <c r="J116" i="19"/>
  <c r="J118" i="19"/>
  <c r="J120" i="19"/>
  <c r="J121" i="19"/>
  <c r="J93" i="19"/>
  <c r="J94" i="19"/>
  <c r="J95" i="19"/>
  <c r="J96" i="19"/>
  <c r="J97" i="19"/>
  <c r="J98" i="19"/>
  <c r="J99" i="19"/>
  <c r="J91" i="19"/>
  <c r="J87" i="19"/>
  <c r="J85" i="19"/>
  <c r="J109" i="19"/>
  <c r="J697" i="19"/>
  <c r="J695" i="19"/>
  <c r="J691" i="19"/>
  <c r="J685" i="19"/>
  <c r="J683" i="19"/>
  <c r="J649" i="19"/>
  <c r="J648" i="19"/>
  <c r="J638" i="19"/>
  <c r="J589" i="19"/>
  <c r="J634" i="19"/>
  <c r="J633" i="19"/>
  <c r="J632" i="19"/>
  <c r="J621" i="19"/>
  <c r="J617" i="19"/>
  <c r="J607" i="19"/>
  <c r="J606" i="19"/>
  <c r="J601" i="19"/>
  <c r="J600" i="19"/>
  <c r="J593" i="19"/>
  <c r="J592" i="19"/>
  <c r="J585" i="19"/>
  <c r="J567" i="19"/>
  <c r="J565" i="19"/>
  <c r="J558" i="19"/>
  <c r="J557" i="19"/>
  <c r="J542" i="19"/>
  <c r="J527" i="19"/>
  <c r="J526" i="19"/>
  <c r="J523" i="19"/>
  <c r="J508" i="19"/>
  <c r="J505" i="19"/>
  <c r="J492" i="19"/>
  <c r="J482" i="19"/>
  <c r="J476" i="19"/>
  <c r="J470" i="19"/>
  <c r="J466" i="19"/>
  <c r="J462" i="19"/>
  <c r="J458" i="19"/>
  <c r="J456" i="19"/>
  <c r="J449" i="19"/>
  <c r="J380" i="19"/>
  <c r="J401" i="19"/>
  <c r="J400" i="19"/>
  <c r="J373" i="19"/>
  <c r="J370" i="19"/>
  <c r="J368" i="19"/>
  <c r="J367" i="19"/>
  <c r="J363" i="19"/>
  <c r="J362" i="19"/>
  <c r="J358" i="19"/>
  <c r="J355" i="19"/>
  <c r="J357" i="19"/>
  <c r="J353" i="19"/>
  <c r="J20" i="19"/>
  <c r="J23" i="19"/>
  <c r="J24" i="19"/>
  <c r="J29" i="19"/>
  <c r="J32" i="19"/>
  <c r="J35" i="19"/>
  <c r="J36" i="19"/>
  <c r="J38" i="19"/>
  <c r="J41" i="19"/>
  <c r="J42" i="19"/>
  <c r="J43" i="19"/>
  <c r="J44" i="19"/>
  <c r="J26" i="19"/>
  <c r="J25" i="19"/>
  <c r="J286" i="19"/>
  <c r="J136" i="19"/>
  <c r="J135" i="19" s="1"/>
  <c r="J62" i="19"/>
  <c r="J63" i="19"/>
  <c r="J65" i="19"/>
  <c r="J66" i="19"/>
  <c r="J67" i="19"/>
  <c r="J68" i="19"/>
  <c r="J71" i="19"/>
  <c r="J72" i="19"/>
  <c r="J74" i="19"/>
  <c r="J80" i="19"/>
  <c r="J312" i="19"/>
  <c r="J313" i="19"/>
  <c r="J315" i="19"/>
  <c r="J317" i="19"/>
  <c r="J318" i="19"/>
  <c r="J668" i="19"/>
  <c r="J651" i="19"/>
  <c r="J663" i="19"/>
  <c r="J666" i="19"/>
  <c r="J642" i="19"/>
  <c r="J644" i="19"/>
  <c r="J645" i="19"/>
  <c r="J655" i="19"/>
  <c r="J657" i="19"/>
  <c r="J661" i="19"/>
  <c r="J659" i="19"/>
  <c r="J671" i="19"/>
  <c r="J675" i="19"/>
  <c r="J677" i="19"/>
  <c r="J681" i="19"/>
  <c r="J673" i="19"/>
  <c r="J688" i="19"/>
  <c r="J684" i="19"/>
  <c r="J52" i="19"/>
  <c r="J53" i="19"/>
  <c r="J56" i="19"/>
  <c r="J709" i="19"/>
  <c r="J708" i="19" s="1"/>
  <c r="J705" i="19"/>
  <c r="J350" i="19"/>
  <c r="J351" i="19"/>
  <c r="J352" i="19"/>
  <c r="J354" i="19"/>
  <c r="J356" i="19"/>
  <c r="J359" i="19"/>
  <c r="J360" i="19"/>
  <c r="J364" i="19"/>
  <c r="J365" i="19"/>
  <c r="J366" i="19"/>
  <c r="J369" i="19"/>
  <c r="J371" i="19"/>
  <c r="J372" i="19"/>
  <c r="J374" i="19"/>
  <c r="J376" i="19"/>
  <c r="J377" i="19"/>
  <c r="J378" i="19"/>
  <c r="J381" i="19"/>
  <c r="J382" i="19"/>
  <c r="J383" i="19"/>
  <c r="J384" i="19"/>
  <c r="J385" i="19"/>
  <c r="J386" i="19"/>
  <c r="J388" i="19"/>
  <c r="J389" i="19"/>
  <c r="J390" i="19"/>
  <c r="J391" i="19"/>
  <c r="J393" i="19"/>
  <c r="J394" i="19"/>
  <c r="J395" i="19"/>
  <c r="J396" i="19"/>
  <c r="J397" i="19"/>
  <c r="J398" i="19"/>
  <c r="J399" i="19"/>
  <c r="J402" i="19"/>
  <c r="J404" i="19"/>
  <c r="J405" i="19"/>
  <c r="J406" i="19"/>
  <c r="J408" i="19"/>
  <c r="J411" i="19"/>
  <c r="J413" i="19"/>
  <c r="J414" i="19"/>
  <c r="J415" i="19"/>
  <c r="J416" i="19"/>
  <c r="J419" i="19"/>
  <c r="J421" i="19"/>
  <c r="J424" i="19"/>
  <c r="J425" i="19"/>
  <c r="J426" i="19"/>
  <c r="J427" i="19"/>
  <c r="J428" i="19"/>
  <c r="J429" i="19"/>
  <c r="J430" i="19"/>
  <c r="J431" i="19"/>
  <c r="J432" i="19"/>
  <c r="J433" i="19"/>
  <c r="J434" i="19"/>
  <c r="J435" i="19"/>
  <c r="J436" i="19"/>
  <c r="J437" i="19"/>
  <c r="J438" i="19"/>
  <c r="J439" i="19"/>
  <c r="J440" i="19"/>
  <c r="J441" i="19"/>
  <c r="J442" i="19"/>
  <c r="J443" i="19"/>
  <c r="J444" i="19"/>
  <c r="J445" i="19"/>
  <c r="J447" i="19"/>
  <c r="J448" i="19"/>
  <c r="J450" i="19"/>
  <c r="J452" i="19"/>
  <c r="J453" i="19"/>
  <c r="J454" i="19"/>
  <c r="J455" i="19"/>
  <c r="J459" i="19"/>
  <c r="J460" i="19"/>
  <c r="J463" i="19"/>
  <c r="J464" i="19"/>
  <c r="J465" i="19"/>
  <c r="J467" i="19"/>
  <c r="J468" i="19"/>
  <c r="J471" i="19"/>
  <c r="J472" i="19"/>
  <c r="J474" i="19"/>
  <c r="J475" i="19"/>
  <c r="J477" i="19"/>
  <c r="J480" i="19"/>
  <c r="J483" i="19"/>
  <c r="J484" i="19"/>
  <c r="J485" i="19"/>
  <c r="J486" i="19"/>
  <c r="J487" i="19"/>
  <c r="J488" i="19"/>
  <c r="J489" i="19"/>
  <c r="J490" i="19"/>
  <c r="J493" i="19"/>
  <c r="J496" i="19"/>
  <c r="J498" i="19"/>
  <c r="J500" i="19"/>
  <c r="J502" i="19"/>
  <c r="J503" i="19"/>
  <c r="J504" i="19"/>
  <c r="J509" i="19"/>
  <c r="J512" i="19"/>
  <c r="J513" i="19"/>
  <c r="J514" i="19"/>
  <c r="J515" i="19"/>
  <c r="J516" i="19"/>
  <c r="J517" i="19"/>
  <c r="J518" i="19"/>
  <c r="J519" i="19"/>
  <c r="J521" i="19"/>
  <c r="J524" i="19"/>
  <c r="J525" i="19"/>
  <c r="J528" i="19"/>
  <c r="J529" i="19"/>
  <c r="J530" i="19"/>
  <c r="J531" i="19"/>
  <c r="J532" i="19"/>
  <c r="J533" i="19"/>
  <c r="J534" i="19"/>
  <c r="J535" i="19"/>
  <c r="J536" i="19"/>
  <c r="J537" i="19"/>
  <c r="J539" i="19"/>
  <c r="J540" i="19"/>
  <c r="J541" i="19"/>
  <c r="J543" i="19"/>
  <c r="J545" i="19"/>
  <c r="J546" i="19"/>
  <c r="J548" i="19"/>
  <c r="J549" i="19"/>
  <c r="J550" i="19"/>
  <c r="J551" i="19"/>
  <c r="J552" i="19"/>
  <c r="J553" i="19"/>
  <c r="J555" i="19"/>
  <c r="J556" i="19"/>
  <c r="J560" i="19"/>
  <c r="J563" i="19"/>
  <c r="J564" i="19"/>
  <c r="J566" i="19"/>
  <c r="J569" i="19"/>
  <c r="J570" i="19"/>
  <c r="J571" i="19"/>
  <c r="J573" i="19"/>
  <c r="J574" i="19"/>
  <c r="J575" i="19"/>
  <c r="J577" i="19"/>
  <c r="J578" i="19"/>
  <c r="J580" i="19"/>
  <c r="J582" i="19"/>
  <c r="J583" i="19"/>
  <c r="J584" i="19"/>
  <c r="J587" i="19"/>
  <c r="J590" i="19"/>
  <c r="J591" i="19"/>
  <c r="J596" i="19"/>
  <c r="J597" i="19"/>
  <c r="J598" i="19"/>
  <c r="J602" i="19"/>
  <c r="J609" i="19"/>
  <c r="J613" i="19"/>
  <c r="J614" i="19"/>
  <c r="J616" i="19"/>
  <c r="J618" i="19"/>
  <c r="J619" i="19"/>
  <c r="J622" i="19"/>
  <c r="J623" i="19"/>
  <c r="J624" i="19"/>
  <c r="J625" i="19"/>
  <c r="J626" i="19"/>
  <c r="J627" i="19"/>
  <c r="J635" i="19"/>
  <c r="J636" i="19"/>
  <c r="K333" i="19"/>
  <c r="J329" i="19"/>
  <c r="J86" i="19"/>
  <c r="J287" i="19"/>
  <c r="J320" i="19"/>
  <c r="J319" i="19"/>
  <c r="J139" i="19"/>
  <c r="J10" i="19"/>
  <c r="J13" i="19"/>
  <c r="J16" i="19"/>
  <c r="J17" i="19"/>
  <c r="J14" i="19" s="1"/>
  <c r="J289" i="19"/>
  <c r="J696" i="19"/>
  <c r="J309" i="19"/>
  <c r="J307" i="19"/>
  <c r="J305" i="19"/>
  <c r="J294" i="19"/>
  <c r="J295" i="19"/>
  <c r="J296" i="19"/>
  <c r="J297" i="19"/>
  <c r="J298" i="19"/>
  <c r="J299" i="19"/>
  <c r="J300" i="19"/>
  <c r="J301" i="19"/>
  <c r="J302" i="19"/>
  <c r="J303" i="19"/>
  <c r="J138" i="19"/>
  <c r="J321" i="19"/>
  <c r="J270" i="19"/>
  <c r="J268" i="19"/>
  <c r="J255" i="19"/>
  <c r="J214" i="19"/>
  <c r="J182" i="19"/>
  <c r="J58" i="19"/>
  <c r="J49" i="19"/>
  <c r="J51" i="19"/>
  <c r="J54" i="19"/>
  <c r="J59" i="19"/>
  <c r="J55" i="19"/>
  <c r="J47" i="19"/>
  <c r="J48" i="19"/>
  <c r="J703" i="19"/>
  <c r="J707" i="19"/>
  <c r="J328" i="19"/>
  <c r="J89" i="19"/>
  <c r="J88" i="19"/>
  <c r="J83" i="19"/>
  <c r="J736" i="19"/>
  <c r="J735" i="19" s="1"/>
  <c r="J734" i="19" s="1"/>
  <c r="J732" i="19"/>
  <c r="J733" i="19"/>
  <c r="J731" i="19" s="1"/>
  <c r="J730" i="19" s="1"/>
  <c r="J729" i="19"/>
  <c r="J728" i="19"/>
  <c r="J727" i="19" s="1"/>
  <c r="J726" i="19"/>
  <c r="J725" i="19" s="1"/>
  <c r="J724" i="19" s="1"/>
  <c r="J723" i="19" s="1"/>
  <c r="J719" i="19"/>
  <c r="J714" i="19"/>
  <c r="J713" i="19"/>
  <c r="J710" i="19"/>
  <c r="J324" i="19"/>
  <c r="J323" i="19" s="1"/>
  <c r="J131" i="19"/>
  <c r="J130" i="19" s="1"/>
  <c r="J111" i="19"/>
  <c r="J110" i="19" s="1"/>
  <c r="J106" i="19"/>
  <c r="J105" i="19"/>
  <c r="J189" i="19"/>
  <c r="J720" i="19"/>
  <c r="J28" i="19"/>
  <c r="J711" i="19"/>
  <c r="J108" i="19"/>
  <c r="J716" i="19"/>
  <c r="J104" i="19" l="1"/>
  <c r="J103" i="19" s="1"/>
  <c r="J102" i="19" s="1"/>
  <c r="J284" i="19"/>
  <c r="J9" i="19"/>
  <c r="J8" i="19" s="1"/>
  <c r="K10" i="19" s="1"/>
  <c r="J331" i="19"/>
  <c r="J637" i="19"/>
  <c r="J310" i="19"/>
  <c r="J60" i="19"/>
  <c r="J39" i="19"/>
  <c r="J689" i="19"/>
  <c r="J84" i="19"/>
  <c r="J122" i="19"/>
  <c r="J179" i="19"/>
  <c r="J19" i="19"/>
  <c r="J46" i="19"/>
  <c r="J134" i="19"/>
  <c r="J133" i="19" s="1"/>
  <c r="J82" i="19"/>
  <c r="J81" i="19" s="1"/>
  <c r="K122" i="19" l="1"/>
  <c r="J115" i="19"/>
  <c r="J327" i="19"/>
  <c r="J326" i="19" s="1"/>
  <c r="M326" i="19" s="1"/>
  <c r="K19" i="19"/>
  <c r="J18" i="19"/>
  <c r="K46" i="19"/>
  <c r="J45" i="19"/>
  <c r="J114" i="19" l="1"/>
  <c r="J738" i="19" s="1"/>
  <c r="M115" i="19"/>
  <c r="K115" i="19"/>
</calcChain>
</file>

<file path=xl/sharedStrings.xml><?xml version="1.0" encoding="utf-8"?>
<sst xmlns="http://schemas.openxmlformats.org/spreadsheetml/2006/main" count="1135" uniqueCount="806">
  <si>
    <t>Додаток 6</t>
  </si>
  <si>
    <t>до рішення обласної ради</t>
  </si>
  <si>
    <t>Перелік об’єктів, видатки на які у 2017  році будуть проводитися за рахунок коштів бюджету розвитку</t>
  </si>
  <si>
    <t>грн</t>
  </si>
  <si>
    <t>Код програмної класифікації видатків та кредитування місцевого бюджету</t>
  </si>
  <si>
    <t>Код ТПКВКМБ</t>
  </si>
  <si>
    <t>Код відомчої/ тимчасової класифікації видатків та кредитування місцевого бюджету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</si>
  <si>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</si>
  <si>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</si>
  <si>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Назва об’єктів відповідно до проектно-кошторисної документації тощо</t>
  </si>
  <si>
    <t xml:space="preserve">Загальний обсяг фінансування будівництва </t>
  </si>
  <si>
    <t xml:space="preserve">Відсоток завершеності будівництва об’єктів на майбутні роки </t>
  </si>
  <si>
    <t xml:space="preserve">Усього видатків на завершення будівництва об’єктів на майбутні роки </t>
  </si>
  <si>
    <t xml:space="preserve">Разом видатків на поточний рік </t>
  </si>
  <si>
    <t>0100000</t>
  </si>
  <si>
    <t>01</t>
  </si>
  <si>
    <t>Обласна рада</t>
  </si>
  <si>
    <t>0110000</t>
  </si>
  <si>
    <t>0110170</t>
  </si>
  <si>
    <t>0170</t>
  </si>
  <si>
    <t>010116</t>
  </si>
  <si>
    <t>0111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</si>
  <si>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</si>
  <si>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Капітальні видатки</t>
  </si>
  <si>
    <t>0111210</t>
  </si>
  <si>
    <t>1210</t>
  </si>
  <si>
    <t>0990</t>
  </si>
  <si>
    <t>Утримання інших закладів освіти</t>
  </si>
  <si>
    <t>0117470</t>
  </si>
  <si>
    <t>7470</t>
  </si>
  <si>
    <t>180409</t>
  </si>
  <si>
    <t>0490</t>
  </si>
  <si>
    <t>Внески до статутного капіталу суб’єктів господарювання</t>
  </si>
  <si>
    <t>0117500</t>
  </si>
  <si>
    <t>7500</t>
  </si>
  <si>
    <t>180410</t>
  </si>
  <si>
    <t>0411</t>
  </si>
  <si>
    <t>Інші заходи, пов'язані з економічною діяльністю</t>
  </si>
  <si>
    <t>0118800</t>
  </si>
  <si>
    <t>8800</t>
  </si>
  <si>
    <t>250380</t>
  </si>
  <si>
    <t>0180</t>
  </si>
  <si>
    <t>Інші субвенції,</t>
  </si>
  <si>
    <t>у тому числі:</t>
  </si>
  <si>
    <t>субвенція з обласного бюджету до місцевих бюджетів на співфінансування органів місцевого самоврядування області ‒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- Швейцарсько-Український проект „Підтримка децентралізації в Україні" DESPRO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</si>
  <si>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2017 року</t>
  </si>
  <si>
    <t>1000000</t>
  </si>
  <si>
    <t>10</t>
  </si>
  <si>
    <t>Департамент освіти і науки Дніпропетровської обласної державної адміністрації</t>
  </si>
  <si>
    <t>1010000</t>
  </si>
  <si>
    <t>1011040</t>
  </si>
  <si>
    <t>1040</t>
  </si>
  <si>
    <t>070301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</si>
  <si>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</si>
  <si>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</si>
  <si>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за рахунок субвенції з державного бюджету</t>
  </si>
  <si>
    <t>1011070</t>
  </si>
  <si>
    <t>070304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</si>
  <si>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</si>
  <si>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1011080</t>
  </si>
  <si>
    <t>1080</t>
  </si>
  <si>
    <t>070307</t>
  </si>
  <si>
    <t>Надання загальної середньої освіти 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</si>
  <si>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1011090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</si>
  <si>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</si>
  <si>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</si>
  <si>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</si>
  <si>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1011100</t>
  </si>
  <si>
    <t>1100</t>
  </si>
  <si>
    <t>0930</t>
  </si>
  <si>
    <t>Підготовка робітничих кадрів професійно-технічними закладами та іншими закладами освіти,</t>
  </si>
  <si>
    <t>1011120</t>
  </si>
  <si>
    <t>070601</t>
  </si>
  <si>
    <t>0941</t>
  </si>
  <si>
    <t>Підготовка кадрів вищими навчальними закладами І і ІІ рівнів акредитації,</t>
  </si>
  <si>
    <t>1011140</t>
  </si>
  <si>
    <t>1140</t>
  </si>
  <si>
    <t>070701</t>
  </si>
  <si>
    <t>0950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</si>
  <si>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</si>
  <si>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1011160</t>
  </si>
  <si>
    <t>1160</t>
  </si>
  <si>
    <t>070802</t>
  </si>
  <si>
    <t>0970</t>
  </si>
  <si>
    <t>Придбання, доставка та зберігання підручників і посібників</t>
  </si>
  <si>
    <t>1011170</t>
  </si>
  <si>
    <t>1170</t>
  </si>
  <si>
    <t>Методичне забезпечення діяльності навчальних закладів та інші заходи в галузі освіти</t>
  </si>
  <si>
    <t>1011180</t>
  </si>
  <si>
    <t>1180</t>
  </si>
  <si>
    <t>070803</t>
  </si>
  <si>
    <t>Здійснення технічного нагляду за будівництвом і капітальним ремонтом та іншими окремими господарськими функціями</t>
  </si>
  <si>
    <t>1011190</t>
  </si>
  <si>
    <t>1190</t>
  </si>
  <si>
    <t>070804</t>
  </si>
  <si>
    <t>Централізоване ведення бухгалтерського обліку</t>
  </si>
  <si>
    <t>1011210</t>
  </si>
  <si>
    <t>070806</t>
  </si>
  <si>
    <t>1011220</t>
  </si>
  <si>
    <t>1220</t>
  </si>
  <si>
    <t>070807</t>
  </si>
  <si>
    <t>Інші освітні програми</t>
  </si>
  <si>
    <t>1016310</t>
  </si>
  <si>
    <t>6310</t>
  </si>
  <si>
    <t>150101</t>
  </si>
  <si>
    <t>Реалізація заходів щодо інвестиційного розвитку території,</t>
  </si>
  <si>
    <t>Реконструкція комерційного вузла обліку газа Комунальний заклад освіти „Криворізький багатопрофільний навчально-реабілітаційний центр „Натхнення” Дніпропетровської обласної ради” за адресою: вул. Кропивницького, 13,
м. Кривий Ріг Дніпропетровська область</t>
  </si>
  <si>
    <t>Реконструкція підвального приміщення під електричну модульну установку на основі електродних котлів (у тому числі, виготовлення проектно-кошторисної документації) КЗО „Нiкопольський навчально-реабілітаційний центр „Ніка” ДОР”</t>
  </si>
  <si>
    <t>Реконструкція  м҆якої покрівлі під дахову Комунальний заклад освіти „Навчально-реабілітаційний центр „Горлиця” Дніпропетровської обласної ради” за адресою
вул. Памірська, 11, м. Дніпро</t>
  </si>
  <si>
    <t>1018610</t>
  </si>
  <si>
    <t>8610</t>
  </si>
  <si>
    <t>250352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</si>
  <si>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</si>
  <si>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1400000</t>
  </si>
  <si>
    <t>14</t>
  </si>
  <si>
    <t>Департамент охорони здоров’я Дніпропетровської обласної державної адміністрації</t>
  </si>
  <si>
    <t>1410000</t>
  </si>
  <si>
    <t>1411120</t>
  </si>
  <si>
    <t>1120</t>
  </si>
  <si>
    <t>Підготовка кадрів вищими навчальними закладами І і ІІ рівнів акредитації</t>
  </si>
  <si>
    <t>1411150</t>
  </si>
  <si>
    <t>1150</t>
  </si>
  <si>
    <t>Підвищення кваліфікації, перепідготовка кадрів іншими закладами післядипломної освіти</t>
  </si>
  <si>
    <t>1412010</t>
  </si>
  <si>
    <t>080101</t>
  </si>
  <si>
    <t>0731</t>
  </si>
  <si>
    <t>Багатопрофільна стаціонарна медична допомога населенню</t>
  </si>
  <si>
    <t>1412030</t>
  </si>
  <si>
    <t>080201</t>
  </si>
  <si>
    <t>0732</t>
  </si>
  <si>
    <t>Спеціалізована стаціонарна медична допомога населенню</t>
  </si>
  <si>
    <t>1412050</t>
  </si>
  <si>
    <t>080203</t>
  </si>
  <si>
    <t>0733</t>
  </si>
  <si>
    <t>Лікарсько-акушерська допомога  вагітним, породіллям та новонародженим</t>
  </si>
  <si>
    <t>1412060</t>
  </si>
  <si>
    <t>080204</t>
  </si>
  <si>
    <t>0734</t>
  </si>
  <si>
    <t>Санаторне лікування хворих на туберкульоз</t>
  </si>
  <si>
    <t>1412070</t>
  </si>
  <si>
    <t>080205</t>
  </si>
  <si>
    <t>Санаторне лікування дітей та підлітків із соматичними захворюваннями (крім туберкульозу)</t>
  </si>
  <si>
    <t>1412100</t>
  </si>
  <si>
    <t>080208</t>
  </si>
  <si>
    <t>0762</t>
  </si>
  <si>
    <t>Створення банків крові та її компонентів</t>
  </si>
  <si>
    <t>1412110</t>
  </si>
  <si>
    <t>080209</t>
  </si>
  <si>
    <t>0724</t>
  </si>
  <si>
    <t>Надання екстреної та швидкої медичної допомоги населенню</t>
  </si>
  <si>
    <t>1412220</t>
  </si>
  <si>
    <t>2220</t>
  </si>
  <si>
    <t>081002</t>
  </si>
  <si>
    <t>0763</t>
  </si>
  <si>
    <t>Інші заходи в галузі охорони здоров҆я,</t>
  </si>
  <si>
    <t>1414060</t>
  </si>
  <si>
    <t>0824</t>
  </si>
  <si>
    <t>Бiблiотеки</t>
  </si>
  <si>
    <t>1416310</t>
  </si>
  <si>
    <t>Реконструкція електромереж будівлі урологічного корпусу  КЗ „Дніпропетровська  обласна  клінічна лікарня ім. І.І. Мечникова”  пл. Соборна, 14, м. Дніпро</t>
  </si>
  <si>
    <t>Реконструкція забору лікувальних грязей із озера Солоний лиман для
КЗ „Дніпропетровська обласна фізіотерапевтична лікарня „Солоний лиман”</t>
  </si>
  <si>
    <t>Резервне електропостачання технологічних приміщень з підключенням автономних дизельних електростанцій за адресою: вул. Герасименко, 94,  с. Новотроїцьке, Новомосковського району. (Реконструкція) для КЗ „Дніпропетровська обласна фізіотерапевтична лікарня „Солоний лиман”</t>
  </si>
  <si>
    <t>Реконструкція системи киснепостачання корпусу стаціонару та поліклініки
КЗ „Клінічний онкологічний диспансер” Дніпропетровської обласної  ради
м. Дніпро, вул. Космічна, 21</t>
  </si>
  <si>
    <t>Розробка ПКД з реконструкції котельні КЗ „Дніпропетровський  протитуберкульозний диспансер” ДОР” по вул. Яхненківська, 39
(заміна природного газу на альтернативне паливо)</t>
  </si>
  <si>
    <t xml:space="preserve">Реконструкція вузла обліку газу КЗ „Новомиколаївська туберкульозна                    лікарня” ДОР” </t>
  </si>
  <si>
    <t>Реконструкція вузла обліку газу КЗ „Христофорівський протитуберкульозний санаторій для дорослих” ДОР”</t>
  </si>
  <si>
    <t>Реконструкція комплексу будівель КЗ „Дитячий психоневрологічний санаторій        № 4” ДОР по вул. Батумській, 62 в м. Дніпро Блок „Б”, „В” з надбудовою 3-х поверхів</t>
  </si>
  <si>
    <t>Розробка ПКД з реконструкції приміщення під соляну кімнату КЗ „Криворізький дитячий санаторій” ДОР”</t>
  </si>
  <si>
    <t>Розробка ПКД з реконструкції аварійної будівлі головного корпусу Кам҆янської філії КЗ „Дніпропетровська обласна станція переливання крові” за адресою                        м. Кам҆янське, вул. Інститутська, 6</t>
  </si>
  <si>
    <t>Реконструкція сходів під облаштування до потреб осіб з обмеженими фізичними можливостями КЗ „Нікопольська станція переливання крові” ДОР”</t>
  </si>
  <si>
    <t>Розробка ПКД з реконструкції системи опалення головної будівлі, а також гаражних та ремонтних боксів КЗ „Обласний центр екстреної медичної допомоги  та медицини катастроф” ДОР”, розташованих за адресою: м. Нікополь,
вул. Електрометалургів,  буд. 27</t>
  </si>
  <si>
    <t>Реконструкція вузла обліку газу КЗ „Новомосковська СШМД” ДОР”</t>
  </si>
  <si>
    <t>Реконструкція індивідуального теплового пункту та системи теплопостачання,
КЗ „Дніпропетровський обласний перинатальний центр зі  стаціонаром” ДОР” по          вул. Космічна, 17, м. Дніпро, в т.ч. розробка  ПКД</t>
  </si>
  <si>
    <t>КЗ „Новомосковська станція швидкої медичної допомоги ДОР” вул. Лікарняна, 1,
м. Новомосковськ, Дніпропетровська область. Реконструкція комерційного вузла обліку газу: топкова.</t>
  </si>
  <si>
    <t>Реконструкція вузла обліку газу котельні  КЗ „Дніпропетровський  протитуберкульозний диспансер” ДОР” за адресою: м. Дніпро, вул. Яхненківська, 39, в т.ч. розробка  ПКД</t>
  </si>
  <si>
    <t>Реконструкція вузла обліку газу котельні  КЗ „Дніпропетровський  протитуберкульозний диспансер” ДОР” за адресою: м.Дніпро, вул. Караваєва, 9, в т.ч. розробка  ПКД</t>
  </si>
  <si>
    <t xml:space="preserve">Реконструкція системи опалення будівлі КЗ „Криворізький дитячий туберкульозний санаторій № 1” ДОР” за адресою: Дніпропетровська область,
м. Кривий Ріг, бульвар Європейський, 14 з застосуванням автономної котельні, в т.ч. розробка  ПКД </t>
  </si>
  <si>
    <t>Технічне переоснащення електромереж будівлі відділення новонароджених
КЗ „Дніпропетровська обласна клінічна лікарня ім. І.І. Мечникова” для можливості роботи від автономного джерела живлення за адресою: пл. Соборна, 14, м. Дніпро
(в т.ч. розробка  ПКД)</t>
  </si>
  <si>
    <t>1500000</t>
  </si>
  <si>
    <t>15</t>
  </si>
  <si>
    <t>Департамент соціального захисту населення Дніпропетровської обласної державної адміністрації</t>
  </si>
  <si>
    <t>1510000</t>
  </si>
  <si>
    <t>1513220</t>
  </si>
  <si>
    <t>3220</t>
  </si>
  <si>
    <t>Забезпечення обробки інформації з нарахування та виплати допомог і компенсацій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</si>
  <si>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</si>
  <si>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</si>
  <si>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</si>
  <si>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1513101</t>
  </si>
  <si>
    <t>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</si>
  <si>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</si>
  <si>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</si>
  <si>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1513102</t>
  </si>
  <si>
    <t>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</si>
  <si>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</si>
  <si>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</si>
  <si>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1513105</t>
  </si>
  <si>
    <t>3105</t>
  </si>
  <si>
    <t>Надання реабілітаційних послуг інвалідам та дітям-інвалідам</t>
  </si>
  <si>
    <t>1513110</t>
  </si>
  <si>
    <t>3110</t>
  </si>
  <si>
    <t>Заклади і заходи з питань дітей та їх соціального захисту</t>
  </si>
  <si>
    <t>1513111</t>
  </si>
  <si>
    <t>3111</t>
  </si>
  <si>
    <t>Утримання закладів, що надають соціальні послуги дітям, які опинились у складних життєвих обставинах</t>
  </si>
  <si>
    <t>1513300</t>
  </si>
  <si>
    <t>3300</t>
  </si>
  <si>
    <t>Інші установи та заклади</t>
  </si>
  <si>
    <t>1516310</t>
  </si>
  <si>
    <t>Реконструкція майстерні в житловий корпус № 5 у КЗ „Васильківський психоневрологічний будинок-інтернат” Дніпропетровської обласної ради”</t>
  </si>
  <si>
    <t>Реконструкція  житлового корпусу № 1 КЗ „Зеленопільський психоневрологічний інтернат” ДОР” за адресою: с. Зелене Поле Криворізького району, вул. Південна, 46А</t>
  </si>
  <si>
    <t>Реконструкція амбулаторії КЗ „Зеленопільський психоневрологічний інтернат” ДОР” за адресою: с. Зелене Поле Криворізького району, вул. Південна, 46А</t>
  </si>
  <si>
    <t>Реконструкція гуртожитку на 100 місць під спальний корпус КЗ „Стародобровольський психоневрологічний інтернат” ДОР” по вул. Степовій, 1       с. Стародобровольск Широковського р-на Дніпропетровської обл.</t>
  </si>
  <si>
    <t>Реконструкція банно-прального комбінату КЗ „Стародобровольський психоневрологічний інтернат” ДОР” в с. Стародобровільське, Широківського району, Дніпропетровської області.</t>
  </si>
  <si>
    <t>Реконструкція  котельні КЗ „Стародобровольський психоневрологічний інтернат”ДОР” в с. Стародобровільське, Широківського району, Дніпропетровської області</t>
  </si>
  <si>
    <t>Установка (реконструкція) комерційного вузла обліку газу за адресою: м. Дніпро, вул. Тютюнова, 1</t>
  </si>
  <si>
    <t>Реконструкція вузла обліку газу в комунальному закладі „Верхівцевський психоневрологічний інтернат” Дніпропетровської обласної ради”</t>
  </si>
  <si>
    <t>Реконструкція системи газопостачання обєкту ‒ котельня КЗ „Зеленопільський психоневрологічний інтернат” ДОР” за адресою: с. Зелене Поле Криворізького району, вул. Південна, 46А</t>
  </si>
  <si>
    <t>1900000</t>
  </si>
  <si>
    <t>19</t>
  </si>
  <si>
    <t>Управління молоді і спорту Дніпропетровської обласної державної адміністрації</t>
  </si>
  <si>
    <t>1910000</t>
  </si>
  <si>
    <t>1915030</t>
  </si>
  <si>
    <t>5030</t>
  </si>
  <si>
    <t>Розвиток дитячо-юнацького та резервного спорту</t>
  </si>
  <si>
    <t>1915031</t>
  </si>
  <si>
    <t>5031</t>
  </si>
  <si>
    <t>Утримання та навчально- тренувальна робота комунальних дитячо- юнацьких спортивних шкіл</t>
  </si>
  <si>
    <t>1915033</t>
  </si>
  <si>
    <t>5033</t>
  </si>
  <si>
    <t>0810</t>
  </si>
  <si>
    <t>Забезпечення підготовки спортсменів вищих категорій школами вищої спортивної майстерності,</t>
  </si>
  <si>
    <t>у т.ч. за рахунок субвенції з державного бюджету</t>
  </si>
  <si>
    <t>1915060</t>
  </si>
  <si>
    <t>Інші заходи з розвитку фізичної культури та спорту</t>
  </si>
  <si>
    <t>1915061</t>
  </si>
  <si>
    <t>5061</t>
  </si>
  <si>
    <t>Забезпечення діяльності місцевих центрів фізичного здоров҆я населення „Спорт для всіх” та проведення фізкультурно-масових заходів серед населення регіону</t>
  </si>
  <si>
    <t>2000000</t>
  </si>
  <si>
    <t>Служба у справах дітей Дніпропетровської обласної державної адміністрації</t>
  </si>
  <si>
    <t>2010000</t>
  </si>
  <si>
    <t>2016160</t>
  </si>
  <si>
    <t>6160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</si>
  <si>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</si>
  <si>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</t>
  </si>
  <si>
    <t>2400000</t>
  </si>
  <si>
    <t>24</t>
  </si>
  <si>
    <t>Управління культури, національностей і релігій Дніпропетровської обласної державної адміністрації</t>
  </si>
  <si>
    <t>2410000</t>
  </si>
  <si>
    <t>2411120</t>
  </si>
  <si>
    <t>2411130</t>
  </si>
  <si>
    <t>1130</t>
  </si>
  <si>
    <t>0942</t>
  </si>
  <si>
    <t>Підготовка кадрів вищими навчальними закладами III і ІV рівнів акредитації</t>
  </si>
  <si>
    <t>2414020</t>
  </si>
  <si>
    <t>110102</t>
  </si>
  <si>
    <t>0821</t>
  </si>
  <si>
    <t>Театри</t>
  </si>
  <si>
    <t>2414030</t>
  </si>
  <si>
    <t>4030</t>
  </si>
  <si>
    <t>0822</t>
  </si>
  <si>
    <t>Філармонії, музичні колективи і ансамблі та інші мистецькі заклади та заходи</t>
  </si>
  <si>
    <t>2414060</t>
  </si>
  <si>
    <t>2414070</t>
  </si>
  <si>
    <t>Музеї i виставки</t>
  </si>
  <si>
    <t>2416310</t>
  </si>
  <si>
    <t xml:space="preserve">Реставрація фасадів памятки архітектури Національного значення,
ОКПК „Дніпропетровський академічний театр російської драми ім. М. Горького”, за адресою: м. Дніпропетровськ, пр. Карла Маркса, 97 </t>
  </si>
  <si>
    <t>Реконструкція комерційного вузла обліку газу за адресою: м. Дніпропетровськ,         вул. Шевченко, 21</t>
  </si>
  <si>
    <t>Розробка проектно-кошторисної документації з реконструкції газопостачання підприємства за адресою: м. Дніпро, пр. Дмитра Яворницького, 47</t>
  </si>
  <si>
    <t>Розробка проектно-кошторисної документації на ремонтно-реставраційні роботи покрівлі на пам҆ятці містобудування і архітектури національного значення, ох.          № 1074 ‒ будівля Дніпропетровського академічного українського музично-драматичного театру ім. Т.Г. ШЕВЧЕНКА за адресою: м. Дніпро,
вул. Воскресенська, 5</t>
  </si>
  <si>
    <t>Реконструкція вузла обліку теплової енергії  будівлі КОМУНАЛЬНОГО ЗАКЛАДУ КУЛЬТУРИ „ДНІПРОВСЬКИЙ АКАДЕМІЧНИЙ УКРАЇНСЬКИЙ  МУЗИЧНО-ДРАМАТИЧНИЙ ТЕАТР ІМ. Т.Г. ШЕВЧЕНКА” ДНІПРОПЕТРОВСЬКОЇ ОБЛАСНОЇ РАДИ”, за адресою: м. Дніпро, вул. Воскресенська, 5</t>
  </si>
  <si>
    <t>Виготовлення проектно-кошторисної документації на реєстраційні роботи на фасадах будівлі КП „Дніпропетровська філармонія ім. Л.Б. Когана” ДОР” за адресою: м. Дніпро, вул. Воскресенська, 6</t>
  </si>
  <si>
    <t>3000000</t>
  </si>
  <si>
    <t>Департамент інформаційної діяльності та комунікацій з громадськістю Дніпропетровської обласної державної адміністрації</t>
  </si>
  <si>
    <t>3010000</t>
  </si>
  <si>
    <t>3011220</t>
  </si>
  <si>
    <t>4000000</t>
  </si>
  <si>
    <t>40</t>
  </si>
  <si>
    <t>Департамент житлово-комунального господарства та будівництва Дніпропетровської обласної державної адміністрації</t>
  </si>
  <si>
    <t>4010000</t>
  </si>
  <si>
    <t>4016020</t>
  </si>
  <si>
    <t>6020</t>
  </si>
  <si>
    <t>Капітальний ремонт об’єктів житлового господарства</t>
  </si>
  <si>
    <t>4016021</t>
  </si>
  <si>
    <t>100102</t>
  </si>
  <si>
    <t>Капітальний ремонт житлового фонду</t>
  </si>
  <si>
    <t>у тому числі кредиторська заборгованість</t>
  </si>
  <si>
    <t>4016050</t>
  </si>
  <si>
    <t>6050</t>
  </si>
  <si>
    <t>Фінансова підтримка об’єктів комунального господарства</t>
  </si>
  <si>
    <t>4016052</t>
  </si>
  <si>
    <t>100202</t>
  </si>
  <si>
    <t>0620</t>
  </si>
  <si>
    <t>Забезпечення функціонування водопровідно-каналізаційного господарства,</t>
  </si>
  <si>
    <t>4016060</t>
  </si>
  <si>
    <t>100203</t>
  </si>
  <si>
    <t>Благоустрій міст, сіл, селищ,</t>
  </si>
  <si>
    <t>м. Вільногірськ</t>
  </si>
  <si>
    <t>Будівництво міського парку по вул. Центральна  м. Вільногірськ Дніпропетровської області (у т.ч. ПКД та експертиза)</t>
  </si>
  <si>
    <t>м. Дніпро</t>
  </si>
  <si>
    <t>Реконструкція центральної алеї (площі) ж/м Західний в районі вулиці Данила Галицького, 31 (РАГС) Новокадацький район м. Дніпро (в т. ч. ПКД та експертиза)</t>
  </si>
  <si>
    <t>м. Кривий Ріг</t>
  </si>
  <si>
    <t>Реконструкція парку ім. Федора Мершовцева м. Кривий Ріг (ІІ черга) (у т.ч. ПКД та експертиза)</t>
  </si>
  <si>
    <t>м. Марганець</t>
  </si>
  <si>
    <t>Реконструкція зони відпочинку  в районі вулиці Бульварної м. Марганець Дніпропетровської області (в т.ч. експертиза та виготовлення ПКД)</t>
  </si>
  <si>
    <t>Реконструкція площі Гірницької Слави м. Марганець (в т.ч. ПКД та експертиза)</t>
  </si>
  <si>
    <t>м. Нікополь</t>
  </si>
  <si>
    <t>Реконструкція парку Перемоги по пр. Трубників в м. Нікополь Дніпропетровської області  (у т.ч. ПКД та експертиза)</t>
  </si>
  <si>
    <t>Реконструкція скверу та алеї на пл. Незалежності м. Нікополь (в т.ч. ПКД та експертиза)</t>
  </si>
  <si>
    <t>м. Новомосковськ</t>
  </si>
  <si>
    <t>Реконструкція площі Героїв у м. Новомосковську (I та II черги будівництва) (у т.ч. ПКД та експертиза)</t>
  </si>
  <si>
    <t>м. Покров</t>
  </si>
  <si>
    <t>Реконструкція міського парку ім. Б. Мозолевського в м. Орджонікідзе Дніпропетровської області (у т.ч. ПКД та експертиза)</t>
  </si>
  <si>
    <t>Реконструкція Дендропарку по вул. Центральна в м. Покров Дніпропетровської області. (у т.ч. ПКД та експертиза)</t>
  </si>
  <si>
    <t>Реконструкція парку Гірників по вул. І. Малки в м. Покров Дніпропетровської області (у т.ч. ПКД та експертиза)</t>
  </si>
  <si>
    <t>Нікопольський район</t>
  </si>
  <si>
    <t>Реконструкція центральної площі смт Червоногригорівка Нікопольського району
(у т.ч. ПКД та експертиза)</t>
  </si>
  <si>
    <t>Синельниківський район</t>
  </si>
  <si>
    <t>Будівництво парку в с. Луб’янка Синельниківського району (в т.ч. ПКД та експертиза)</t>
  </si>
  <si>
    <t>Солонянський район</t>
  </si>
  <si>
    <t>Реконструкція паркової зони по вул. Гагаріна в смт Солоне Дніпропетровської області (у т. ч. ПКД та експертиза)</t>
  </si>
  <si>
    <t>Томаківський район</t>
  </si>
  <si>
    <t>Реконструкція паркової зони смт Томаківка, Томаківського району, Дніпропетровської області ( у т.числі ПКД та експертиза)</t>
  </si>
  <si>
    <t>Петриківський район</t>
  </si>
  <si>
    <t>Реконструкція мереж вуличного освітлення по вул. Центральна, Високий Хутір в смт Миколаївка Петриківського району Дніпропетровської області з встановленням ефективних енергозберігаючих світильників</t>
  </si>
  <si>
    <r>
      <t>П</t>
    </r>
    <r>
      <rPr>
        <sz val="11"/>
        <rFont val="Times New Roman"/>
        <family val="1"/>
        <charset val="204"/>
      </rPr>
      <t>’</t>
    </r>
    <r>
      <rPr>
        <i/>
        <sz val="11"/>
        <rFont val="Times New Roman"/>
        <family val="1"/>
        <charset val="204"/>
      </rPr>
      <t>ятихатський район</t>
    </r>
  </si>
  <si>
    <t>Реконструкція міського парку відпочинку і дозвілля та Центрального проспекту
(в т.ч. ПКД та експертиза)</t>
  </si>
  <si>
    <t>4016110</t>
  </si>
  <si>
    <t>6110</t>
  </si>
  <si>
    <t>Заходи, пов'язані з поліпшенням питної води</t>
  </si>
  <si>
    <t>4016120</t>
  </si>
  <si>
    <t>6120</t>
  </si>
  <si>
    <t>Забезпечення збору та вивезення сміття і відходів, надійної та безперебійної експлуатації каналізаційних систем</t>
  </si>
  <si>
    <t>4016310</t>
  </si>
  <si>
    <t>Реалізація заходів щодо інвестиційного розвитку території</t>
  </si>
  <si>
    <t>Реконструкція водоводів № 2, № 3 комунального підприємства Дніпропетровської обласної ради „Аульський водовід”, ПК-325</t>
  </si>
  <si>
    <t>Будівництво насосної станції ІІ-го підйому на ж/м Ігрень з улаштуванням резервуарів (в т. ч. ПКД та експертиза)</t>
  </si>
  <si>
    <r>
      <t>м. Кам</t>
    </r>
    <r>
      <rPr>
        <sz val="11"/>
        <rFont val="Times New Roman"/>
        <family val="1"/>
        <charset val="204"/>
      </rPr>
      <t>҆</t>
    </r>
    <r>
      <rPr>
        <i/>
        <sz val="11"/>
        <rFont val="Times New Roman"/>
        <family val="1"/>
        <charset val="204"/>
      </rPr>
      <t>янське</t>
    </r>
  </si>
  <si>
    <t>Реконструкція системи водопостачання селища Романкове та 55-го блочка               м. Кам҆янське ((ІІ та ІІІ черги) (в т. ч. ПКД та експертиза)</t>
  </si>
  <si>
    <r>
      <t xml:space="preserve">Реконструкція 3-го підйому по вул. Альпова, 3 в м. Нікополь </t>
    </r>
    <r>
      <rPr>
        <sz val="11"/>
        <rFont val="Times New Roman"/>
        <family val="1"/>
        <charset val="204"/>
      </rPr>
      <t>(коригування)</t>
    </r>
  </si>
  <si>
    <t>м. Павлоград</t>
  </si>
  <si>
    <t>Будівництво пішохідного мосту через річку Вовча з  вул. Хижняка (в районі житлового будинку № 45) в м. Павлограді Дніпропетровської області (у т.ч. ПКД та експертиза)</t>
  </si>
  <si>
    <t>Реконструкція пішохідного мосту через річку Вовча з  вул. Соборної на парк 1-го Травня м. Павлограді Дніпропетровської області (у т.ч. ПКД та експертиза)</t>
  </si>
  <si>
    <t>Реконструкція блоку фільтрів та відстойників на насосно-фільтрувальній станції МКП „Орджонікідзевське ВУВКГ” (в т.ч. ПКД та експертиза)</t>
  </si>
  <si>
    <t>м. Синельникове</t>
  </si>
  <si>
    <t>Реконструкція водопровідних мереж м. Синельникове (в т.ч. коригування та експертиза ПКД)</t>
  </si>
  <si>
    <t>м. Тернівка</t>
  </si>
  <si>
    <t xml:space="preserve">Реконструкція ділянки магістрального водоводу ДМП ВКГ „Дніпро – Західний Донбас” від м. Павлоград до м. Тернівка </t>
  </si>
  <si>
    <t>Апостолівський район</t>
  </si>
  <si>
    <t>Будівництво підвідного водоводу від с. Михайлівка до с. Катеринівка Апостолівського району ( у т.ч. експертиза та виготовлення ПКД)</t>
  </si>
  <si>
    <t>Будівництво підвідного водоводу від с. Михайлівка до с. Михайло-Заводське Апостолівського району (у т.ч. експертиза та виготовлення ПКД)</t>
  </si>
  <si>
    <t>Будівництво магістрального водопроводу від села Нива-Трудова до села Михайлівка (Апостолівського району) (в т.ч. експертиза та коригування ПКД)</t>
  </si>
  <si>
    <t>Верхньодніпровський район</t>
  </si>
  <si>
    <t>Реконструкція водогонів м.Верхівцеве (водопостачання північної сторони міста)
(у т.ч. ПКД та експертиза)</t>
  </si>
  <si>
    <t>Дніпровський район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</si>
  <si>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(в т.ч. ПКД та експертиза)</t>
  </si>
  <si>
    <t xml:space="preserve">Будівництво системи водопостачання об’єднаних громад сіл Новомиколаївка, Сурсько-Литовське, Сурсько-Клевцеве та Зелений Гай  Дніпропетровського району Дніпропетровської області </t>
  </si>
  <si>
    <t>Реконструкція системи водопостачання с. Майорка Дніпропетровського району (в т.ч. ПКД та експертиза)</t>
  </si>
  <si>
    <t>Будівництво водопровідної мережі в с. Сурсько-Литовське Дніпропетровської області (в т.ч. ПКД та експертиза)</t>
  </si>
  <si>
    <t>Будівництво пункту відпуску води з системою доочистки для потреб питного водопостачання по вул. Красна с. Любимівка  Дніпропетровського району Дніпропетровської області (в т.ч. експертиза та виготовлення ПКД)</t>
  </si>
  <si>
    <t>Реконструкція системи водопостачання північної частини с. Волоське Дніпропетровського району (в т.ч. експертиза та виготовлення ПКД)</t>
  </si>
  <si>
    <t>Реконструкція насосної станції № 3  та ділянки водогону від НС для водопостачання с. Перше Травня на території Любимівської сільської ради  Дніпропетровського району (в т.ч. ПКД та експертиза)</t>
  </si>
  <si>
    <t>Реконструкція насосної станції № 1 для водопостачання с. Любимівка на території Любимівської сільської ради  Дніпропетровського району (в т.ч. ПКД та експертиза)</t>
  </si>
  <si>
    <t>Реконструкція насосної станції № 2 з заміною технологічного устаткування на території Любимівської сільської ради  Дніпропетровського району (в т.ч. ПКД та експертиза)</t>
  </si>
  <si>
    <t>Реконструкція насосної станції № 2 з ремонтом будівлі та заміною електротехнічного устаткування на території Любимівської сільської ради  Дніпропетровського району (в т.ч. ПКД та експертиза)</t>
  </si>
  <si>
    <t>Криворізький район</t>
  </si>
  <si>
    <t>Реконструкція каналізаційних мереж с. Кривбас Гейківської сільської ради Криворізького району  (в т.ч. експертиза та виготовлення ПКД)</t>
  </si>
  <si>
    <t>Реконструкція магістрального водогону від м. Кривий Ріг – с. Веселе Криворізького району (у т.ч. ПКД та експертиза)</t>
  </si>
  <si>
    <t>Водопостачання с. Червоне, Калініна, Гомельське,  Руднічне Криворізького            району ‒ реконструкція (у т.ч. ПКД та експертиза)</t>
  </si>
  <si>
    <t>Криничанський район</t>
  </si>
  <si>
    <t>Нове будівництво водогону питної води населених пунктів Божедарівської селищної ради, Криничанського району, Дніпропетровської області</t>
  </si>
  <si>
    <t>Будівництво розвідних водопровідних мереж с. Бикове Криничанського району
(у т.ч. ПКД та експертиза)</t>
  </si>
  <si>
    <t>Магдалинівський район</t>
  </si>
  <si>
    <t>Реконструкція мереж водопостачання с. Оленівка, Магдалинівського району Дніпропетровської області (у т.ч. ПКД та експертиза)</t>
  </si>
  <si>
    <t>Межівський район</t>
  </si>
  <si>
    <t>Реконструкція котельні Межівської СЗШ I ‒ 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 (в  т.ч. ПКД та експертиза)</t>
  </si>
  <si>
    <t>Будівництво мережі водопостачання по вул. Центральна (Леніна), Поповича, Медова (Терешкової), Миру (Островського), Папаніна, Зарічна (Воровського)           с. Іванівка Межівського району Дніпропетровської області (у т.ч. ПКД та експертиза)</t>
  </si>
  <si>
    <t>Нове будівництво магістрального водогону Південне – Першотравневе Нікопольського району  (у т.ч. експертиза та виготовлення ПКД)</t>
  </si>
  <si>
    <t>Нове будівництво підвідного  водоводу Першотравневе – Дмитрівка – Борисівка  Нікопольського району  (у т.ч. експертиза та виготовлення ПКД)</t>
  </si>
  <si>
    <t>Реконструкція підвідного водоводу Нікополь-Південне в Нікопольському районі Дніпропетровської області</t>
  </si>
  <si>
    <t>Новомосковський район</t>
  </si>
  <si>
    <t>Підвідний водовід до села Новоселівка Новомосковського району ‒ будівництво
(в т.ч. експертиза та коригування ПКД)</t>
  </si>
  <si>
    <t>Павлоградський район</t>
  </si>
  <si>
    <t xml:space="preserve">Реконструкція магістрального водоводу  ДЗД від НС № 5 до балки Свідовок
(в т.ч. коригування та експертиза ПКД)         </t>
  </si>
  <si>
    <t>Реконструкція котельні № 9 та теплових мереж  дочірнього підприємства „Петриківкатеплоенерго”  комунального підприємства „Дніпротеплоенерго” Дніпропетровської обласної ради” по вул. Кірова, 78А, с. Іванівка Петриківського району</t>
  </si>
  <si>
    <t>Покровський район</t>
  </si>
  <si>
    <t>Реконструкція водогону в с. Маломихайлівка Покровського району (в т.ч. ПКД та експертиза)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</si>
  <si>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</si>
  <si>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Софіївський район</t>
  </si>
  <si>
    <t>Будівництво водоводу (с. Новоолексіївка) Новоолексіївської сільської ради,             (с. Євдокіївка,  с. Мар҆ївка, с. Павлівка, с. Леніне, с. Калашники) Жовтневої сільської ради Софіївського району Дніпропетровської області (в т.ч. ПКД та експертиза)</t>
  </si>
  <si>
    <t>Нове будівництво водогону від ІІ підйому до с. Вищетарасівка Томаківського району  (у т.ч. експертиза та ПКД)</t>
  </si>
  <si>
    <t>Нове будівництво водогону від ІІ підйому до с. Виводове Томаківського району
(в т.ч. ПКД та експертиза)</t>
  </si>
  <si>
    <t xml:space="preserve">Нове будівництво  магістрального водогону Томаківка – Кисличувате – Преображенка  Томаківського району   (у т.ч. ПКД та експертиза) </t>
  </si>
  <si>
    <t>Царичанський район</t>
  </si>
  <si>
    <t>Реконструкція житлового будинку № 118а по вул. Комсомольській в смт Царичанка Царичанського району Дніпропетровської області ( у т.ч. ПКД та експертиза)</t>
  </si>
  <si>
    <t>Широківський район</t>
  </si>
  <si>
    <t xml:space="preserve">Нове будівництво підвідного водоводу до с. Зелена Балка Широківського району Дніпропетровської області </t>
  </si>
  <si>
    <t>Нове будівництво підвідної водопровідної мережі до с. Чапаєвка, с. Надія,
с. Григорівка, с. Оленівка, с. Запоріжжя Широківського району (в т.ч. експертиза та виготовлення ПКД)</t>
  </si>
  <si>
    <t>Нове будівництво  підвідного водоводу до с. Андріївка та с. Радевичеве Широківського району (в т.ч. експертиза та виготовлення ПКД)</t>
  </si>
  <si>
    <t>Нове будівництво підвідного водоводу Кривий Ріг ‒ Зелений Гай Широківського району Дніпропетровської області (у т.ч. ПКД та експертиза)</t>
  </si>
  <si>
    <t>Реконструкція підвідного водопроводу до с. Новолатівка та с. Інгулець Широківського району Дніпропетровської області (в т.ч. ПКД та експертиза)</t>
  </si>
  <si>
    <t>4016650</t>
  </si>
  <si>
    <t>0456</t>
  </si>
  <si>
    <t>Утримання та розвиток інфраструктури доріг</t>
  </si>
  <si>
    <t>у тому числі за рахунок субвенцій з державного бюджету</t>
  </si>
  <si>
    <t>згідно з рішеннями суду</t>
  </si>
  <si>
    <t xml:space="preserve">Будівництво автомобільної дороги по вул. Південна, м. Вільногірськ, Дніпропетровської області </t>
  </si>
  <si>
    <t>Будівництво автомобільної дороги державного значення М-04 Знам’янка-Луганськ-Ізварине (на Волгоград через мм. Дніпропетровськ, Донецьк) на ділянці обходу       м. Дніпропетровська  від автомобільної дороги державного значення Н-08 Бориспіль - Дніпропетровськ - Запоріжжя до межі м. Дніпропетровська,  км 0+000 - км 1+800</t>
  </si>
  <si>
    <t>Будівництво автомобільної дороги державного значення М-04 Знам’янка-Луганськ-Ізварине (на Волгоград через мм. Дніпропетровськ, Донецьк) на ділянці обходу         м. Дніпропетровська  від автомобільної дороги державного значення Н-08 Бориспіль-Дніпропетровськ-Запоріжжя до межі м. Дніпропетровська,  км 1+800 - км 3+700</t>
  </si>
  <si>
    <t>Будівництво автомобільної дороги державного значення М-04  Знам’янка-Луганськ-Ізварине  (на Волгоград через мм. Дніпропетровськ, Донецьк) на ділянці обходу      м. Дніпропетровська  від автомобільної дороги державного значення Н-08 Бориспіль-Дніпропетровськ-Запоріжжя до межі м. Дніпропетровська,  км 3+700 - км 4+200</t>
  </si>
  <si>
    <t>Будівництво автомобільної дороги державного значення М-04 Знам’янка-Луганськ-Ізварине (на Волгоград через мм. Дніпропетровськ, Донецьк) на ділянці обходу        м. Дніпропетровська  від автомобільної дороги державного значення Н-08  Бориспіль-Дніпропетровськ-Запоріжжя до межі м. Дніпропетровська, км 4+200 - межа  м. Дніпропетровська</t>
  </si>
  <si>
    <t>Будівництво автомобільної дороги державного значення М-04 Знам’янка-Луганськ-Ізварине (на  Волгоград через мм. Дніпропетровськ, Донецьк) на ділянці обходу        м. Дніпропетровська  від автомобільної дороги державного значення Н-08 Бориспіль - Дніпропетровськ - Запоріжжя до межі м. Дніпропетровська, транспортна розв҆язка  в двох рівнях на км 0+000</t>
  </si>
  <si>
    <t>Будівництво автомобільної дороги державного значення М-04  Знам’янка-Луганськ-Ізварине (на  Волгоград через мм. Дніпропетровськ, Донецьк) на ділянці обходу         м. Дніпропетровська  від автомобільної дороги державного значення Н-08  Бориспіль-Дніпропетровськ-Запоріжжя до межі м. Дніпропетровська, шляхопровід  на км 0+000</t>
  </si>
  <si>
    <t>Будівництво автомобільної дороги державного значення М-04 Знам’янка-Луганськ-Ізварине (на Волгоград через мм. Дніпропетровськ, Донецьк) на ділянці обходу         м. Дніпропетровська  від автомобільної дороги державного значення Н-08 Бориспіль-Дніпропетровськ-Запоріжжя до межі м. Дніпропетровська, транспортна розв҆язка  в двох рівнях на перетині з автомобільною дорогою Під҆їзд до аеропорту  „Дніпропетровськ”</t>
  </si>
  <si>
    <t>Будівництво автомобільної дороги державного значення М-04 Знам’янка-Луганськ-Ізварине (на  Волгоград через мм. Дніпропетровськ, Донецьк) на ділянці обходу      м. Дніпропетровська  від автомобільної дороги державного значення Н-08 Бориспіль-Дніпропетровськ-Запоріжжя до межі м. Дніпропетровська, штучні споруди для проїзду сільгосптехніки</t>
  </si>
  <si>
    <t>Будівництво автомобільної дороги державного значення М-04 Знам’янка-Луганськ-Ізварине  (на  Волгоград через мм. Дніпропетровськ, Донецьк) на ділянці обходу       м. Дніпропетровська  від автомобільної дороги державного значення Н-08 Бориспіль-Дніпропетровськ-Запоріжжя до межі м. Дніпропетровська, перевлаштування комунікацій на ділянці км 3+673 - км 3+726</t>
  </si>
  <si>
    <t>Будівництво ділянки дороги  другої черги Південного обходу м. Дніпра від межі      м. Дніпра до проїзної частини залізобетонного шляхопроводу через вул. Мільмана</t>
  </si>
  <si>
    <t>Нове будівництво автодороги від мкр-ну Сонячний до вул. Спаської у м. Кривий Ріг Дніпропетровської області (у т.ч. ПКД та експертиза)</t>
  </si>
  <si>
    <t>Реконструкція вулиці Центральної та площі ім. І. Сірка в м. Орджонікідзе Дніпропетровської області (у тому числі виготовлення ПКД та експертиза)</t>
  </si>
  <si>
    <t>Реконструкція вул. Дзержинського в м. Павлоград (у т.ч. ПКД та експертиза)</t>
  </si>
  <si>
    <t>4017410</t>
  </si>
  <si>
    <t>7410</t>
  </si>
  <si>
    <t>0470</t>
  </si>
  <si>
    <t>Заходи з енергозбереження</t>
  </si>
  <si>
    <t>Комплексна термомодернізація будівлі КЗ „Дніпропетровська міська дитяча клінічна лікарня № 1” Дніпропетровської обласної ради” у м. Дніпро ‒ реконструкція (у т.ч. ПКД та експертиза)</t>
  </si>
  <si>
    <t>Реконструкція системи гарячого водопостачання та опалення з встановленням геліосистеми в Комунальному закладі „Дніпропетровський геріатричний пансіонат Дніпропетровської обласної ради” по вул. Гаванській, 15 в м. Дніпро ( у т. ч. ПКД та експертиза)</t>
  </si>
  <si>
    <t>Реконструкція системи гарячого водопостачання та опалення з встановленням геліосистеми в Комунальному закладі „Марганецька спеціалізована школа
І ‒ ІІІ ступенів № 2 з поглибленим вивченням англійської мови Марганецької міської ради Дніпропетровської області” по вул. Садова, 18 в м. Марганець Дніпропетровської області (у т.ч. ПКД та експертиза)</t>
  </si>
  <si>
    <t>Реконструкція системи гарячого водопостачання та опалення з встановленням геліосистеми в Комунальному дошкільному навчальному закладі (ясла-садок)  загального розвитку № 7 „Івушка” Підгородненської міської ради по вул. Шосейна, 99-а в м. Підгородне Дніпровського району Дніпропетровської області ( у т.ч. ПКД та експертиза)</t>
  </si>
  <si>
    <t>Реконструкція системи гарячого водопостачання та опалення з встановленням геліосистеми в Комунальному закладі „Любимівська загальноосвітня школа 
І ‒ ІІІ ступенів Дніпровської районної ради Дніпропетровської області”
по вул. Садова, 1 в с. Любимівка  Дніпровського району Дніпропетровської області (у т.ч. ПКД та експертиза)</t>
  </si>
  <si>
    <t>4017700</t>
  </si>
  <si>
    <t>7700</t>
  </si>
  <si>
    <t>0540</t>
  </si>
  <si>
    <t>Інші природоохоронні заходи,</t>
  </si>
  <si>
    <t>у т.ч. за рахунок субвенцій з державного бюджету</t>
  </si>
  <si>
    <t>4018800</t>
  </si>
  <si>
    <t xml:space="preserve">Інші субвенції </t>
  </si>
  <si>
    <t>субвенція з обласного бюджету до місцевих бюджетів на соціально- економічний розвиток</t>
  </si>
  <si>
    <t>4200000</t>
  </si>
  <si>
    <t>47</t>
  </si>
  <si>
    <t>Управління протокольних та масових заходів Дніпропетровської обласної державної адміністраці</t>
  </si>
  <si>
    <t>4210000</t>
  </si>
  <si>
    <t>4214200</t>
  </si>
  <si>
    <t>4200</t>
  </si>
  <si>
    <t>0829</t>
  </si>
  <si>
    <t>Інші культурно-освітні заклади та заходи</t>
  </si>
  <si>
    <t>4700000</t>
  </si>
  <si>
    <t>Управління капітального будівництва Дніпропетровської обласної державної адміністраці</t>
  </si>
  <si>
    <t>4710000</t>
  </si>
  <si>
    <t>4716020</t>
  </si>
  <si>
    <t>Капітальний ремонт обʼєктів житлового господарства</t>
  </si>
  <si>
    <t>4716021</t>
  </si>
  <si>
    <t>6021</t>
  </si>
  <si>
    <t>Капітальний ремонт житлового фонду,</t>
  </si>
  <si>
    <t>4716310</t>
  </si>
  <si>
    <t>СКРИТО</t>
  </si>
  <si>
    <t>НЕ УДАЛЯТЬ</t>
  </si>
  <si>
    <t>Реконструкція нежитлового приміщення КЗ „Дніпровський центр 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</si>
  <si>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проспект Богдана Хмельницкого 12-г  під розміщення амбулаторії загальної практики сімейної медицини
(у т.ч. ПКД)</t>
  </si>
  <si>
    <t>Реконструкція амбулаторії № 2 КЗ „ДЦПМСД № 6” за адресою: вул. Караваєва, 68, м. Дніпро (у т.ч. ПКД)</t>
  </si>
  <si>
    <t>Реконструкція амбулаторії № 9 КЗ „ДЦПМСД № 7” за адресою: вул. Новошкільна, 92,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</si>
  <si>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</si>
  <si>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амбулаторії № 10 КЗ „ДЦПМСД № 4” за адресою: вул. Козакова,
1-а, м. Дніпро (у т.ч. ПКД)</t>
  </si>
  <si>
    <t>Реконструкція нежитлового приміщення КЗ „Дніпровський центр первинної
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</si>
  <si>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
медико-санітарної допомоги № 4” за адресою: м. Дніпро, вул. Набережна Перемоги, 118 під розміщення амбулаторії загальної практики сімейної медицини № 12 (у т.ч. ПКД)</t>
  </si>
  <si>
    <t>Реконструкція нежитлового приміщення КЗ „Дніпровський центр первинної
медико-санітарної допомоги № 4” за адресою: вул. Сімферопольська 19, м. Дніпро,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</si>
  <si>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
медико-санітарної допомоги № 4” за адресою: просп. Героїв 3, м. Дніпро,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</si>
  <si>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
медико-санітарної допомоги № 5” за адресою: м. Дніпро, просп. Свободи, 99 під розміщення амбулаторії загальної практики сімейної медицини (у т.ч. ПКД)</t>
  </si>
  <si>
    <t>Реконструкція нежитлових приміщень КЗ „ДЦПМСД № 10” під амбулаторію сімейної медицини № 8 за адресою: вул. Електрична, 15, м. Дніпро (у т.ч. ПКД)</t>
  </si>
  <si>
    <t>Реконсирукція нежитлового приміщення КЗ „Дніпровський центр первинної
медико-санітарної допомоги № 10” за адресою: вул. Чаплинська, 96, м. Дніпро, під розміщення  амбулаторії загальної практики сімейної медицини (у т.ч. ПКД)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</si>
  <si>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</si>
  <si>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філії амбулаторії № 6 за адресою: вул. Орловська, 41
м. Дніпропетровськ, під амбулаторію загальної практики сімейної медицини. Коригування (у т.ч. ПКД)</t>
  </si>
  <si>
    <t>Реконструкція нежитлових приміщень КЗ „ДЦПМСД”  № 10   під  амбулаторії  сімейної медицини за адресою: вул. Буковинська, 5 м. Дніпро (у т.ч. ПКД)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</si>
  <si>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 (І черга)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</si>
  <si>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Дніпропетровськ. Зовнішні електричні мережі (у тому числі ПКД)</t>
  </si>
  <si>
    <t>Реконструкція будівлі поліклініки № 1 під хірургічне відділення
КЗ „Дніпропетровський спеціалізований клінічний медичний центр матері та дитини ім. проф. М.Ф. Руднєва” ДОР” по проспекту Пушкіна, 26
у м. Дніпропетровську, в т.ч. ПКД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</si>
  <si>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 (коригування), у т.ч. ПКД</t>
  </si>
  <si>
    <t>Реконструкція неонатального корпусу з прибудовою лікувально-діагностичного відділення  КЗ „Дніпропетровський спеціалізований клінічний медичний центр матері та дитини ім. проф. М.Ф. Руднєва” ДОР” по проспекту Пушкіна, 26 у
м. Дніпропетровську (у т.ч. ПКД )</t>
  </si>
  <si>
    <t>Коригування проекту „Реконструкція м’якої покрівлі під шатровий дах із металочерепиці з утепленням фасадів корпусів КЗ „Дніпропетровська міська багатопрофільна клінічна лікарня № 4” ДОР” під „Реконструкція частини м҆якої покрівлі під шатровий дах із металочерепиці з утепленням фасадів корпусів та влаштуванням центру реабілітації КЗ „Дніпропетровська міська багатопрофільна клінічна лікарня № 4” ДОР” (у т.ч. ПКД)</t>
  </si>
  <si>
    <t>Проект реконструкції з реставрацією фасадів будівлі КЗ  „Обласний клінічний центр медико-соціальної експертизи” ДОР”, площа Жовтнева, 14,
м. Дніпропетровськ (протиаварійні роботи) ( у т.ч. ПКД)</t>
  </si>
  <si>
    <t xml:space="preserve">Реконструкція будівлі педіатричного корпусу з надбудовою поверху
КЗ „Дніпропетровський спеціалізований клінічний медичний центр матері та дитини ім. проф. М.Ф. Руднєва” ДОР по просп. Пушкіна, 26 у м. Дніпропетровську  (у т.ч. ПКД) </t>
  </si>
  <si>
    <t>Реконструкція будівлі харчоблоку під медично-господарчий блок
КЗ „Дніпропетровський спеціалізований клінічний медичний центр матері та дитини ім. проф. М.Ф. Руднєва” за адресою пр. Пушкіна, 26, м. Дніпро (у т.ч. ПКД)</t>
  </si>
  <si>
    <t>Реконструкція систем киснезабезпечення (з улаштуванням автономного джерела) педіатричного та хірургічного корпусів КЗ „Дніпропетровський спеціалізований клінічний медичний центр матері та дитини ім. проф. М.Ф. Руднєва” ДОР по проспекту Пушкіна, 26 у м. Дніпропетровську. Коригування</t>
  </si>
  <si>
    <t>Реконструкція стадіону „Трудові резерви”, м. Дніпропетровськ. Благоустрій території (у т.ч. ПКД)</t>
  </si>
  <si>
    <t>Реконструкція ТП стадіону „Трудові резерви”, м. Дніпропетровськ, у т.ч. ПКД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</si>
  <si>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</si>
  <si>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 xml:space="preserve">Реконструкція стадіону „Трудові резерви”, м. Дніпропетровськ </t>
  </si>
  <si>
    <t>Реконструкція стадіону „Трудові резерви”, м. Дніпропетровськ. Перспективний план (у т.ч. ПКД)</t>
  </si>
  <si>
    <t>Реконструкція мереж газопостачання, розташованих на території стадіону „Трудові резерви”, м. Дніпро (винос мереж), (у т.ч. ПКД)</t>
  </si>
  <si>
    <t>Реконструкція системи теплопостачання стадіону „Трудові резерви”, м. Дніпро,
(у т.ч. ПКД)</t>
  </si>
  <si>
    <t>Реконструкція системи теплопостачання стадіону „Трудові резерви”, м. Дніпро. Збільшення потужності. (у т.ч. ПКД)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</si>
  <si>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</si>
  <si>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Реконструкція дощової та напірно-господарчо-побутової каналізації та насосної станції спортивного комплексу комунального спеціалізованого навчального закладу спортивного профілю „Дніпропетровського вищого училища фізичної культури” Дніпропетровської обласної ради” вул. Героїв Сталінграда, 29а (у т.ч. ПКД)</t>
  </si>
  <si>
    <t xml:space="preserve">Реконструкція адміністративної будівлі за адресою: вул Комсомольська, 34  у            м. Дніпропетровську. Коригування </t>
  </si>
  <si>
    <t>Реконструкція головного корпусу блок № 2 (сходово-ліфтовий вузол) з переходом до блоку № 6 КЗ ДОДКЛ ДОР по вул. Космічній, 13, м. Дніпропетровськ
(у т.ч. ПКД)</t>
  </si>
  <si>
    <t>Реконструкція будівлі головного корпусу (блоки №№ 1, 2, 3) КЗ „ДОДКЛ” ДОР” по вул. Космічній, 13 м. Дніпро, в межах землекористування. (у т.ч. ПКД)</t>
  </si>
  <si>
    <t>Коригування проекту „Регіональний перинатальний центр. Реконструкція будівлі поліклініки (блок № 5) під неонатальний блок на 60 ліжок КЗ ДОДКЛ по                    вул. Космічній, 13 в м. Дніпропетровську” під „Реконструкція будівлі поліклініки (блок № 5) КЗ „ДОДКЛ” ДОР під неонатальний блок з консультативно-діагностичною поліклінікою по вул. Космічній, 13 в  м. Дніпропетровськ”</t>
  </si>
  <si>
    <t>Реконструкція 1-го психіатричного відділення КЗ „Дніпропетровська клінічна психіатрична лікарня” ДОР” під відділення профілактики та лікування СНІДу,         м. Дніпропетровськ (у т.ч. ПКД)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</si>
  <si>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 у т.ч. ПКД)</t>
  </si>
  <si>
    <t>Реконструкція будівлі стаціонару та поліклініки комунального закладу „Клінічний онкологічний диспансер” ДОР по вул. Космічній, 21 у м. Дніпропетровську. (Покрівля, фасади, заповнення віконних та дверних прорізів, благоустрій)</t>
  </si>
  <si>
    <t>Дитячий сад-ясла на 220 місць на ж/м Лівобережний-3 у м. Дніпропетровськ ‒ будівництво</t>
  </si>
  <si>
    <t>Реконструкція ДНЗ № 254 по вул. Альвінського, 1, м. Дніпро (у т.ч. ПКД)</t>
  </si>
  <si>
    <t>Реконструкція ДНЗ № 41 по вул. Молодогвардійській, 24д, м. Дніпро (у т.ч. ПКД)</t>
  </si>
  <si>
    <t>Капітальний ремонт КЗ „Дошкільний навчальний заклад (ясла-садок) № 165” Дніпровської міської ради по просп. Гагаріна, 147 (у т.ч. ПКД)</t>
  </si>
  <si>
    <t>Капітальний ремонт КЗ „Дошкільний навчальний заклад (ясла-садок) № 210” Дніпровської міської ради по просп. Гагаріна, 173-а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</si>
  <si>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                              вул. Перемоги, 113  м. Дніпро (у т.ч. ПКД)</t>
  </si>
  <si>
    <t>Реконструкція плавального басейну КЗО „Загальноосвітня санаторна школа-інтернат № 3” ДОР по вул. Прапорна, 25, м. Дніпропетровськ  (у т.ч. ПКД)</t>
  </si>
  <si>
    <t>Капітальний ремонт аварійної покрівлі  Коледжу культури та мистецтв м. Дніпро, пр. Яворницького 47</t>
  </si>
  <si>
    <t>Капітальний ремонт будівлі учбового корпусу Дніпропетровського педагогічного коледжу Дніпропетровського національного університету імені Олеся Гончара за адресою: пр. Кірова, 83 у м. Дніпропетровськ</t>
  </si>
  <si>
    <t xml:space="preserve">Капітальний ремонт покрівлі Діорами КЗК „Дніпропетровський національний історичний музей імені Д.І. Яворницького” ДОР по просп. Дмитра Яворницького, 16 у місті  Дніпро </t>
  </si>
  <si>
    <t>Реконструкція першого поверху терапевтичного корпусу під відділення невідкладної (екстреної) медичної допомоги КЗ  „Дніпропетровське клінічне об҆єднання швидкої медичної допомоги” Дніпропетровської обласної ради”                по вул. Свердлова, 65 м. Дніпропетровську (у т.ч. ПКД)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</si>
  <si>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
(у т.ч. ПКД)</t>
  </si>
  <si>
    <t>Реконструкція нежитлових приміщень КЗ „ДЦПМСД № 9” під амбулаторію сімейної медицини  за адресою: вул. Осіння, 13а  м. Дніпропетровськ. Коригування (у т.ч. ПКД)</t>
  </si>
  <si>
    <t>Капітальний ремонт амбулаторії № 6 КЗ „ДЦПМСД № 7” по  вул. Амбулаторна, 1, м. Дніпропетровськ (у т.ч. ПКД)</t>
  </si>
  <si>
    <t>Капітальний ремонт амбулаторії № 7 КЗ „ДЦПМСД № 7” за адресою:                            вул. Філософська, 62 в м. Дніпропетровську (у т.ч. ПКД)</t>
  </si>
  <si>
    <t>Реконструкція частини благоустрою майданчику з улаштуванням об’єкта монументального мистецтва (стели з державною символікою) на                              пр. Д. Яворницького м. Дніпро (у т.ч. ПКД)</t>
  </si>
  <si>
    <t>Будівництво ДНЗ на 115 місць на території КЗО СШ № 116 по вул. Передова, 601
м. Дніпро (у т.ч. ПКД)</t>
  </si>
  <si>
    <t>Будівництво ДНЗ на 220 місць на території СШ № 25 у м. Дніпро, вул. Кротова, 601 (у т.ч. ПКД)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</si>
  <si>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‒ будівля КЗ Культури „Дніпровський академічний Український музично-драматичний театр ім. Т.Г. Шевченка” Дніпропетровської обласної ради, за адресою: м. Дніпро, вул. Воскресенська, 5</t>
  </si>
  <si>
    <t>м. Жовті Води</t>
  </si>
  <si>
    <t>Капітальний ремонт фасадів та покрівлі будівлі НВК № 6 „Перспектива”
по вул. Я. Мудрого, 11-а у м. Жовті Води (у т.ч. ПКД)</t>
  </si>
  <si>
    <t>Реконструкція стадіону та елементів благоустрою НВК № 6 „Перспектива”
по вул. Я. Мудрого, 11-а у м. Жовті Води (у т.ч. ПКД)</t>
  </si>
  <si>
    <t>Капітальний ремонт внутрішніх приміщень будівлі НВК № 6 „Перспектива”
по вул. Я. Мудрого, 11-а у м. Жовті Води (у т.ч. ПКД)</t>
  </si>
  <si>
    <t>м. Кам’янське</t>
  </si>
  <si>
    <t>Будівництво навчально-виховного комплексу на території КЗ „Середня загальноосвітня школа № 27” Кам’янської міської ради, розташованої за адресою:
м. Кам’янське, вул. Залізняка, 19, Дніпропетровської області (у т.ч. ПКД)</t>
  </si>
  <si>
    <t>Реконструкція будівлі басейну СЗШ № 44 за адресою: вул. Інтернаціоналістів, 7А у м. Дніпродзержинську. Коригування</t>
  </si>
  <si>
    <t xml:space="preserve">Реконструкція майстерень СЗШ № 37 під приміщення дошкільного відділення за  адресою: вул. Щербицького, 34/22 в м. Дніпродзержинськ. Коригування </t>
  </si>
  <si>
    <t>Реконструкція локальних очисних споруд для знезараження стічних вод
КЗ „Дніпродзержинський протитуберкульозний диспансер” ДОР” за адресою: м. Дніпродзержинськ, пр. Аношкіна, 70</t>
  </si>
  <si>
    <t>Реконструкція частини будівлі комунального закладу „Навчально-виховний комплекс „Загальноосвітній навчальний заклад І ‒ ІІ ступенів - академічний ліцей
№ 15 м. Дніпродзержинська” Дніпродзержинської міської ради за адресою по
вул. 40 років Перемоги, 10. Коригування (у т.ч. ПКД)</t>
  </si>
  <si>
    <t>Будівництво стадіону КЗ „Дитячо-юнацька футбольна школа „Надія” Кам’янської міської ради (у т.ч. ПКД)</t>
  </si>
  <si>
    <r>
      <t>Реконструкція будівлі „Палац тенісу” КЗ „Спортивний комбінат „Прометей” КМР у м. Кам҆</t>
    </r>
    <r>
      <rPr>
        <sz val="11"/>
        <rFont val="Times New Roman"/>
        <family val="1"/>
        <charset val="204"/>
      </rPr>
      <t>янське (у т.ч. ПКД)</t>
    </r>
  </si>
  <si>
    <t>Реконструкція окремо розташованої будівлі комунального закладу „Дошкільний навчальний заклад (ясла-сад) № 23 „Дзвіночок” Кам҆янської міської ради дошкільний заклад для дітей від 3 до 6 років. За адресою : вул. Чорновола, 77</t>
  </si>
  <si>
    <t>Реконструкція фасаду, капітальний ремонт системи водопостачання та водовідведення, теплопостачання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(у т.ч. ПКД)</t>
  </si>
  <si>
    <t>Реконструкція малої арени стадіону „Перемога” за адресою: просп. Аношкіна, 109, м. Дніпродзержинськ ( у т.ч. ПКД)</t>
  </si>
  <si>
    <t>Реконструкція дошкільного закладу № 243, Жовтневий район,
вул. Кропивницького, 65, м. Кривий Ріг  ( у т.ч. ПКД)</t>
  </si>
  <si>
    <t>Реконструкція будівель під центр соціальної реабілітації дітей-інвалідів по
вул. Вільна, 2а , м. Кривий Ріг ( у т.ч. ПКД)</t>
  </si>
  <si>
    <t xml:space="preserve">Капітальний ремонт приміщень КЗ „Палац культури „Карачуни” Криворізької міської ради” по вул. Алмазна, 29, м. Кривий Ріг </t>
  </si>
  <si>
    <t>Реконструкція приміщень 1-го поверху КЗ „Криворізька міська клінічна лікарня
№ 2 Дніпропетровської обласної ради” під відділення  екстреної (невідкладної) медичної допомоги за адресою: м. Кривий Ріг, майдан 30-річчя Перемоги, 2 (у т.ч. ПКД)</t>
  </si>
  <si>
    <t>Приміщення під амбулаторію № 7 „Центру первинної медико-санітарної допомоги № 3” за адресою: мкр. 7 Зарічний, 9а, м. Кривий Ріг ‒ реконструкція ( у т.ч. ПКД)</t>
  </si>
  <si>
    <t>Приміщення під амбулаторію „Центру первинної медико-санітарної допомоги № 5” в селищі Ілліча, м. Кривий Ріг ‒ реконструкція ( у т.ч.ПКД )</t>
  </si>
  <si>
    <t>Реконструкція приміщень під амбулаторію № 4 „Центру первинної медико-санітарної допомоги № 2” по вул. Електрозаводській, 22а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</si>
  <si>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4” по вул. Павлика Морозова, 15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</si>
  <si>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</si>
  <si>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 у т.ч. ПКД)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</si>
  <si>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</si>
  <si>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
(у т.ч. ПКД)</t>
  </si>
  <si>
    <t>Реконструкція суміщеного покриття з м’якою покрівлею шляхом влаштування горищного скатного покриття з метало черепичною покрівлею поліклініки головного корпусу ОКЗ  „Криворізький шкірно-венерологічний диспансер” за адресою: Дніпропетровська область, м. Кривий Ріг, вул. Мелешкіна, 25</t>
  </si>
  <si>
    <t>Реконструкція покрівлі будівлі КЗ „Криворізькій дитячий санаторій” ДОР за адресою: м. Кривий Ріг, вул. Гете, 65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</si>
  <si>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</si>
  <si>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</si>
  <si>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 ч. ПКД)</t>
  </si>
  <si>
    <t>Реконструкція незавершеного будівництва житлового будинку № 26-Б по
вул. Бульварній в м. Марганець. Коригування. (у т.ч. ПКД)</t>
  </si>
  <si>
    <t>Реконструкція КЗ ДНЗ № 20 „Буратино” за адресою: м. Марганець, вул. Східний квартал, 12а (у т.ч. ПКД)</t>
  </si>
  <si>
    <t>Капітальний ремонт басейну по вул. Єдності у м. Марганець (у т.ч. ПКД)</t>
  </si>
  <si>
    <t>Капітальний ремонт будівлі Марганецької дитячо-юнацької спортивної школи № 1 за адресою: Дніпропетровська обл., м. Марганець, вул. Дніпровська, буд. 3а (у т.ч. ПКД)</t>
  </si>
  <si>
    <t>Будівництво Комунального дошкільного навчального закладу за адресою: вулиця Київська, буд. 169, м. Марганець, Дніпропетровської області (у т.ч. ПКД)</t>
  </si>
  <si>
    <t>Будівництво будівлі під амбулаторію ЗПСМ КЗ „Нікопольський центр первинної медико-санітарної допомоги” по вул. Чалого, м. Нікополь ( у т.ч. ПКД)</t>
  </si>
  <si>
    <t>Будівництво спортивно-оздоровчого комплексу на території парку Перемоги в
м. Нікополь по вул. Херсонська, у т.ч. ПКД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</si>
  <si>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 47
(у т.ч. ПКД)</t>
  </si>
  <si>
    <t>Реконструкція стадіону „Металург ім. О.І. Куценка” по вул. Трубників, 48 у
м. Нікополь (у т.ч. ПКД)</t>
  </si>
  <si>
    <t>Будівництво спортивної зали з плавальним басейном та облаштуванням теплого переходу в КЗ „НСЗШ № 21” за адресою м. Нікополь, вул. Гагаріна, 161 (у т.ч.ПКД)</t>
  </si>
  <si>
    <t>Будівництво КДНЗ санаторного типу „Дивограй” за адресою: м. Нікополь,
вул. Івана Куценка (у т.ч. ПКД)</t>
  </si>
  <si>
    <t>Будівництво КДНЗ (ясел-садка) „Світанок” за адресою: м. Нікополь, перехрестя
вул. Першотравнева та вул. 8 Березня (у т.ч. ПКД)</t>
  </si>
  <si>
    <t>Капітальний ремонт приміщень КЗДЮШ № 1 за адресою  вул. Гетьманська, 34а у
м. Нікополь, Дніпропетровська область (у т.ч. ПКД)</t>
  </si>
  <si>
    <t>Капітальний ремонт будівлі КЗ „Спеціалізована природничо-математична школа
І ‒ ІІІ ступенів при Дніпропетровському Національному університеті
ім. О. Гончара” м. Нікополь, вул. Каштанова, 62 ( у т.ч. ПКД)</t>
  </si>
  <si>
    <t>Реконструкція стадіону КЗ „Спеціалізована природничо-математична школа
І ‒ ІІІ ступенів при Дніпропетровському Національному університеті
ім. О. Гончара” м. Нікополь, вул. Каштанова, 62 (у т.ч. ПКД)</t>
  </si>
  <si>
    <t>Реконструкція дошкільного навчального закладу „Чебурашка” з улаштуванням автономної котельні по вул. Велика Ковалівка, 14 в м. Новомосковську (коригування) (у тому числі ПКД)</t>
  </si>
  <si>
    <t>Троїцький собор в м. Новомосковську – реставрація. Коригування (у т.ч. ПКД)</t>
  </si>
  <si>
    <t>Реконструкція будівлі середньої загальноосвітньої школи № 8 м. Новомосковськ, вул. Шевченка, 8 Дніпропетровської області. Коригування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</si>
  <si>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</si>
  <si>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Реконструкція будівлі ЗШ № 2 (корпус 2)  для подальшого переводу в НВК № 2 по вул. Полтавська, 148 (замість вул. Московська, 123),  м. Павлоград Дніпропетровської області (Коригування), у т.ч. ПКД</t>
  </si>
  <si>
    <t>Реконструкція будівлі Павлоградського навчально-виховного комплексу „Дошкільний навчальний заклад № 22 по вул. Баумана, 61 в м. Павлоград Дніпропетровської області”, коригування,  у т.ч. ПКД</t>
  </si>
  <si>
    <t>Будівництво нової 2-х трансформаторної підстанції 10/04 кВ в м. Павлоград,                                             вул. К. Маркса 1/3 для об҆єкта „Будівля відділення медико-соціальної реабілітації інвалідів стаціонарного відділення тимчасового перебування, нічного перебування територіального центру соціального обслуговування пенсіонерів та одиноких непрацездатних громадян, м. Павлоград ‒ реконструкція” (у т.ч. ПКД)</t>
  </si>
  <si>
    <t>Реконструкція  КБУ „Фізкультурно-спортивний комплекс ім. В.М. Шкуренко” по вул. Корольова Сергія, 1, м. Павлоград  (у т.ч. ПКД)</t>
  </si>
  <si>
    <t>Будівництво 2-х секційного житлового будинку у м. Покров (у т.ч. ПКД)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</si>
  <si>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</si>
  <si>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</si>
  <si>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Реконструкція стадіону на території комунального закладу  „Навчально-виховний комплекс № 2 (середня школа I ‒ III ступенів ‒ дошкільний навчальний заклад)
м. Покров Дніпропетровської області” вул. Л. Чайкіної, буд. 15 (у т.ч. ПКД)</t>
  </si>
  <si>
    <t>Реконструкція комунального закладу  „Навчально-виховний комплекс № 2 (середня школа I ‒ III ступенів ‒ дошкільний навчальний заклад) м. Покров Дніпропетровської області” вул. Л. Чайкіної, буд. 15 (у т.ч. ПКД)</t>
  </si>
  <si>
    <t>Капітальний ремонт КДНЗ № 21 (ясла-садок) комбінованого типу
по вул. Лізи Чайкіної, 10, м. Покров (у т.ч. ПКД)</t>
  </si>
  <si>
    <t>Будівництво ДНЗ на 115 місць,  вул. І. Малки, м. Покров (у т.ч. ПКД)</t>
  </si>
  <si>
    <t>Реконструкція  комунального закладу „Комунальний позашкільний навчальний заклад „Дитячо-юнацька спортивна школа м. Покров Дніпропетровської області” вул. Горького, буд. 12 (у т.ч. ПКД)</t>
  </si>
  <si>
    <t>Реконструкція будівлі КЗ „Центр первинної медико-санітарної допомоги”
м. Покров під територіальний центр обслуговування населення міста (надання соціальних послуг) з відділенням цілодобового перебування за адресою: м. Покров, вул. Медична, 19 (неврологічний корпус), у т.ч. ПКД</t>
  </si>
  <si>
    <t>Реконструкція стадіону м. Синельникове (у т.ч. ПКД)</t>
  </si>
  <si>
    <t>Капітальний ремонт глядацьких трибун стадіону за адресою: Дніпропетровська обл., м. Синельникове, вул. Каштанова, 27-А (у т.ч. ПКД)</t>
  </si>
  <si>
    <t>Реконструкція „Спортивно-оздоровчого комплексу „Темп” по вул. Петровського, 9, у  м. Тернівка Дніпропетровської області</t>
  </si>
  <si>
    <t>Капітальний ремонт КЗ „Дитячо-юнацька спортивна школа „Темп” м. Тернівка
(у т.ч. ПКД)</t>
  </si>
  <si>
    <t>Реконструкція частини загальноосвітньої школи під дитячий садок на 20 місць в
с. Велика Костромка Апостолівського району Дніпропетровської області. Коригування</t>
  </si>
  <si>
    <t>Реконструкція  центрального стадіону м. Апостолове Апостолівського району
(у т.ч. ПКД)</t>
  </si>
  <si>
    <t>Васильківський район</t>
  </si>
  <si>
    <t>Реконструкція будівлі колишньої молочної кухні Васильківської ЦРЛ в
сел. Васильківка, Дніпропетровської області під багатоквартирний житловий будинок для лікарів сімейної медицини вул. Крупської, 76 (у т.ч. ПКД)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</si>
  <si>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</si>
  <si>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</si>
  <si>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 у т.ч. ПКД)</t>
  </si>
  <si>
    <t>Реконструкція комунального закладу Верхівцевський НВК „Середня загальноосвітня школа №  1 – дошкільний навчальний заклад” Верхньодніпровської районної ради (у т.ч. ПКД)</t>
  </si>
  <si>
    <t>Реконструкція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</si>
  <si>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Капітальний ремонт будівлі сільського Будинку культури по вул. Юдіна, 14 в с. Мишурин Ріг Верхньодніпровського району Дніпропетровської області (покрівля, заміна вікон і дверей) (коригування), у т.ч. ПКД</t>
  </si>
  <si>
    <t>Капітальний ремонт Новомиколаївського будинку культури за адресою:
вул. Шкільна, 4 смт Новомиколаївка Верхньодніпровського району Дніпропетровської області (у т.ч.ПКД)</t>
  </si>
  <si>
    <t>Реконструкція спортивної  зали КЗ „Верхівцевська СЗШ № 2 І ‒ ІІІ ст.” за адресою: вул. Зелена, 3, м. Верхівцево Верхньодніпровського району Дніпропетровської області (у тому числі ПКД)</t>
  </si>
  <si>
    <t>Капітальний ремонт будівель центрального корпусу та корпусу № 2 комунального закладу Верхівцевський психоневрологічний інтернат Дніпропетровської обласної ради ( у т.ч. ПКД)</t>
  </si>
  <si>
    <t>Реконструкція Бородаївського КДНЗ „Вишенька” за адресою: вул. Шкільна, 12,
с. Бородаївка Верхньодніпровського району Дніпропетровської області  (у т.ч. ПКД)</t>
  </si>
  <si>
    <t>Капітальний ремонт НВК в с. Ганнівка Верхньодніпровського району Дніпропетровської області (у т.ч. ПКД)</t>
  </si>
  <si>
    <t>Будівництво стадіону на території НВК в с. Ганнівка Верхньодніпровського району Дніпропетровської області (у т.ч. ПКД)</t>
  </si>
  <si>
    <t>Реконструкція комунального закладу спорткомплекс „Дніпровець” за адресою:
вул. Набережна, 1 сел. Дніпровське Верхньодніпровський район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</si>
  <si>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</si>
  <si>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Спортивно-оздоровчий комплекс в сел. Ювілейне Дніпропетровського району Дніпропетровської області ‒ будівництво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</si>
  <si>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</si>
  <si>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будівлі дошкільного закладу „Веснянка” по вул. Центральна , 31 д в с.Миколаївка-1 Дніпропетровського району Дніпропетровської області. Коригування (у т.ч. ПКД)</t>
  </si>
  <si>
    <t>Реконструкція Комунального дитячого закладу оздоровлення та відпочинку Дніпровського району „Ювілейний” (у т.ч. ПКД)</t>
  </si>
  <si>
    <t>Реконструкція колишньої Маївської початкової школи під комунальний дошкільний навчальний заклад по вул. Київській 61 в с. Маївка Дніпровського району Дніпропетровської області (у тому числі ПКД)</t>
  </si>
  <si>
    <t>Будівництво навчально-виховного комплексу на території КЗ „Обухівська загальноосвітня школа № 2 І ‒ ІІІ ступенів” Дніпровської районної ради Дніпропетровської області”, розташованої за адресою: смт. Обухівка,
вул. Солідарності, 49 ( у т.ч. ПКД)</t>
  </si>
  <si>
    <t>Будівництво навчально-виховного комплексу на території КЗ „Підгородненська загальноосвітня школа № 4 І ‒ ІІІ ступенів” Дніпровської районної ради Дніпропетровської області, розташованої за адресою: м. Підгородне,
вул. Партизанська, 58 ( у т.ч. ПКД)</t>
  </si>
  <si>
    <t>Будівництво житлового будинку в сел. Слобожанське Дніпровського району
(у т.ч. ПКД)</t>
  </si>
  <si>
    <t>Реконструкція спортивної зали, актової зали, шкільних майстерень КЗ Балівська СЗШ по вул. Жовтнева, 68 в с. Баловка Дніпровського району (у т.ч. ПКД)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</si>
  <si>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</si>
  <si>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Реконструкція будівлі, що не експлуатується старого корпусу школи під НВК № 3 по вул. Ленінградській, 1, в м. Підгородне Дніпропетровського району Дніпропетровської області (у т.ч. ПКД)</t>
  </si>
  <si>
    <t xml:space="preserve">Будівництво дитячого навчального закладу по вул. Дніпропетровська, ж/м „Володимирський”, сел. Ювілейне Дніпропетровського району </t>
  </si>
  <si>
    <t>Будівництво ДНЗ на 115 місць за адресою: вул. Центральна, с. Балівка Дніпровського району (у т.ч. ПКД)</t>
  </si>
  <si>
    <t>Будівництво ДНЗ на 80 місць за адресою: вул. Шкільна, 2,  с. Старі Кодаки Дніпровського району Дніпропетровської області (у т.ч. ПКД)</t>
  </si>
  <si>
    <t>Будівництво ДНЗ на 115 місць на території Миколаївської СШ № 2 Новотаромської сільської ради Дніпровського району (у т.ч. ПКД)</t>
  </si>
  <si>
    <t>Будівництво ДНЗ на 115 місць за адресою: вул. Шкільна, 17а, с. Чумаки Дніпровського району (у т.ч. ПКД)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</si>
  <si>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
(у т.ч. ПКД)</t>
  </si>
  <si>
    <t>Капітальний ремонт Новомилорадівського будинку культури Божедарівської ОТГ Криничанського району (у т.ч. ПКД)</t>
  </si>
  <si>
    <t>Капітальний ремонт НВК „Малософіївська ЗОШ І ‒ ІІ ступенів-дошкільний навчальний заклад” Криничанського району (у т.ч. ПКД)</t>
  </si>
  <si>
    <t>Капітальний ремонт Аульського спеціального дошкільного навчального закладу (ясла-садок) з корекції вад мовлення „Ромашка” Аульської селещної ради, Криничанського району (у т.ч. ПКД)</t>
  </si>
  <si>
    <t>Реконструкція  стадіону смт Кринички Криничанського району (у т.ч. ПКД)</t>
  </si>
  <si>
    <t>Реконструкція глядацьких трибун з улаштуванням навісу стадіону смт Кринички, за адресою: Дніпропетровська обл., Криничанський район, смт. Кринички,
вул. Героїв Чорнобиля, 7-Д ( у т.ч. ПКД)</t>
  </si>
  <si>
    <t>Реконструкція Глеюватського дитячого садка  по вул. Кірова, 2а, с. Глеюватка Криворізького району Дніпропетровської області (у т.ч. ПКД)</t>
  </si>
  <si>
    <t>Реконструкція будівлі гуртожитку під амбулаторію ЗПСМ по вул. Гагаріна, 17 в
с. Червоне Криворізького району Дніпропетровської області (у т.ч. ПКД)</t>
  </si>
  <si>
    <t>Капітальний ремонт будівлі та благоустрою  Комунального закладу освіти „Дошкільний навчальний заклад (ясла-садок) загального розвитку „Сонечко” Казначеївської сільської ради за адресою: вул. Назаренка, 149, с. Казначеївка  Магдалинівського району  Дніпропетровської області</t>
  </si>
  <si>
    <t>Реконструкція лівого крила школи с. Котовка Магдалинівського району Дніпропетровської області</t>
  </si>
  <si>
    <t xml:space="preserve">Реконструкція нежитлової будівлі під багатофункціональну будівлю громадського призначення, розташованої в селі Гупалівка Магдалинівського району Дніпропетровської області по вул. Леніна будинок № 40А, 40А/1 </t>
  </si>
  <si>
    <t>Капітальний ремонт будівлі і зовнішніх мереж КЗ „Магдалинівський районний будинок культури” МРР за адресою: вул. Центральна, 61, смт. Магдалинівка Магдалинівського району Дніпропетровської області</t>
  </si>
  <si>
    <t>Реконструкція футбольного поля на території спортивного комплексу „Мрія” по вул. Центральній, 1-Б в смт Магдалинівка Магдалинівського району Дніпропетровської області (у т.ч. ПКД)</t>
  </si>
  <si>
    <t>Реконструкція частини приміщень будинку культури під дошкільний навчальний заклад в с. Топчине Магдалинівського району Дніпропетровської області
(у т.ч. ПКД)</t>
  </si>
  <si>
    <t xml:space="preserve">Реконструкція спортивного комплексу по вул. Будьонного в смт. Межова Дніпропетровської області. Коригування </t>
  </si>
  <si>
    <t>Реконструкція ДНЗ на 115 місць по вул. Центральна, 1Г в с. Райполе Межівського району (у т.ч. ПКД)</t>
  </si>
  <si>
    <t>Реконструкція дитячого садка на 90 місць за адресою: вул. Гагаріна, 3, с. Іванівка, Межівського району (у т.ч. ПКД)</t>
  </si>
  <si>
    <t>Школа № 2 смт Межова Дніпропетровської області ‒ реконструкція (у т.ч. ПКД)</t>
  </si>
  <si>
    <t>Будівництво ДНЗ на 80 місць по вул. Б. Хмельницького, 7а  с. Слов’янка Межівського району (у т.ч. ПКД)</t>
  </si>
  <si>
    <t xml:space="preserve">Реконструкція  топочної будинку культури для теплопостачання дитячого садку і сільської ради с. Чкалове Нікопольського району Дніпропетровської області. Коригування </t>
  </si>
  <si>
    <t>Капітальний ремонт будівлі сільського клубу по вул. Гагаріна, 13 в с. Шевченкове Нікопольського району Дніпропетровської області (у т.ч. ПКД)</t>
  </si>
  <si>
    <t>Будівництво ДНЗ на 115 місць в смт. Червоногригорівка Нікопольського району
(у т.ч. ПКД)</t>
  </si>
  <si>
    <t>Реконструкція будівлі дитячого садка в с. Чкалове Нікопольського району Дніпропетровської області (коригування) (у т.ч. ПКД)</t>
  </si>
  <si>
    <t>Будівництво стадіону в с. Придніпровське Нікопольського району Дніпропетровської області (у т.ч. ПКД)</t>
  </si>
  <si>
    <t>Капітальний ремонт дитячого садочка у селі Павлопілля Нікопольського району Дніпропетровської області (у т.ч. ПКД)</t>
  </si>
  <si>
    <t xml:space="preserve"> Реконструкція Будинку культури в м. Перещепине  Дніпропетровської області. Коригування (у т.ч. ПКД)</t>
  </si>
  <si>
    <t>Добудова корпусу КЗ „Дніпропетровська обласна фізіотерапевтична лікарня „Солоний лиман” (виготовлення ПКД)</t>
  </si>
  <si>
    <t>Реконструкція Миколаївської ЗОШ І ‒ ІІІ ступенів під навчально-виховний комплекс „Загальноосвітній навчальний заклад - дошкільний заклад”, розташованого за адресою: вул. Шкільна, 1  с. Миколаївка Новомосковський район Дніпропетровської області (у т.ч. ПКД)</t>
  </si>
  <si>
    <t>Реконструкція будівлі на території ЗОШ № 1 під КЗ дошкільний навчально-виховний комплекс № 1 „Загальноосвітній навчальний заклад – дошкільний навчальний заклад Новомосковської районної ради Дніпропетровської області” за адресою: вул. Українська, 217,  с. Знаменівка, Новомосковський район, Дніпропетровська область (у т.ч. ПКД)</t>
  </si>
  <si>
    <t>Реконструкція будівлі дитячого садка „Сонечко” по вул. Миру, 32, с. Голубівка Новомосковського району Дніпропетровської області (у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</si>
  <si>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 (у т.ч. ПКД)</t>
  </si>
  <si>
    <t>Реконструкція будинку культури у с. Спаське по вул. Козинця П., 74а Новомосковського району Дніпропетровської області (у т.ч. ПКД)</t>
  </si>
  <si>
    <t xml:space="preserve">Реконструкція дошкільного навчального закладу по вул. Центральна, 10, в селі Піщанка, Новомосковського району, Дніпропетровської області (у т.ч. ПКД) </t>
  </si>
  <si>
    <t xml:space="preserve">Реконструкція дитячого садка № 2 „Теремок” по вул. Шкільна, 14 в с. Богданівка Павлоградського району Дніпропетровської області. Коригування </t>
  </si>
  <si>
    <t>Прибудова на одну групу Єлизаветівського дошкільного навчального закладу за адресою: вул. Комінтерна, 5 в с. Єлизаветівка Петриківського району (у т.ч. ПКД)</t>
  </si>
  <si>
    <t>Реконструкція існуючої будівлі спортивного комплексу Чаплинської середньої загальноосвітньої школи під навчально-виховний комплекс на 60 місць по
вул. Калініна, 2 в с. Чаплинці Петриківського району. Коригування (у т.ч. ПКД)</t>
  </si>
  <si>
    <t>Реконструкція стадіону Петриківської школи з профільним виробничим навчанням І ‒ ІІІ ступенів по проспекту Петра Калнишевського, 71а в смт Петриківка Петриківського району Дніпропетровської області (у т.ч. ПКД)</t>
  </si>
  <si>
    <t>Будівництво стадіону в с. Хутірське по вул. Лук’яненко Хутірської сільської ради Петриківського району Дніпропетровської області (у т.ч. ПКД)</t>
  </si>
  <si>
    <t>Петропавлівський район</t>
  </si>
  <si>
    <t>Реконструкція будівлі по вул. Жовтнева, 125 в смт Петропавлівка під житловий будинок з виділенням соціального житла (у т.ч.ПКД)</t>
  </si>
  <si>
    <t>Реконструкція будівлі КЗ „Покровська дитячо-юнацька спортивна школа” Покровської районної ради Дніпропетровської області, (I черга), у т.ч. ПКД</t>
  </si>
  <si>
    <t xml:space="preserve">Завершення будівництва багатоквартирного житлового будинку по вул. Леніна, 143А, смт Покровське Покровського району Дніпропетровської області. Коригування </t>
  </si>
  <si>
    <t>Реконструкція стадіону в смт Покровське, вул. Горького, Покровського району
(у т.ч. ПКД)</t>
  </si>
  <si>
    <t>Капітальний ремонт „НВК „ЗОШ І ‒ ІІІ ступенів № 1 ‒ Покровський ліцей”,
смт Покровське, Покровського району Дніпропетровської області (у т.ч. ПКД)</t>
  </si>
  <si>
    <t>Реконструкція стадіону КЗ освіти  „НВК „ЗОШ І ‒ ІІІ ступенів № 1 ‒ Покровський ліцей”, смт Покровське, Покровського району Дніпропетровської області
(у т.ч. ПКД)</t>
  </si>
  <si>
    <r>
      <rPr>
        <sz val="11"/>
        <rFont val="Times New Roman"/>
        <family val="1"/>
        <charset val="204"/>
      </rPr>
      <t>П’</t>
    </r>
    <r>
      <rPr>
        <i/>
        <sz val="11"/>
        <rFont val="Times New Roman"/>
        <family val="1"/>
        <charset val="204"/>
      </rPr>
      <t>ятихатський район</t>
    </r>
  </si>
  <si>
    <t>Будівництво 3-х п’ятиповерхових житлових будинків під соціальне житло по
вул. Нова та вул. Шатрова в м. П’ятихатки Дніпропетровської області, у т.ч. ПКД</t>
  </si>
  <si>
    <t>Капітальний ремонт ДНЗ № 2 за адресою: Дніпропетровська обл., м. П’ятихатки, вул. Гагаріна, 200 (у т.ч. ПКД)</t>
  </si>
  <si>
    <t>Капітальний ремонт дошкільного навчального закладу № 3 „Малятко”
по вул. Українська, буд. 59 в м. П’ятихатки, Дніпропетровської області (у т.ч. ПКД)</t>
  </si>
  <si>
    <r>
      <t>Будівництво ДНЗ на 115 місць по вул. Привокзальна, 344, м. П’</t>
    </r>
    <r>
      <rPr>
        <sz val="11"/>
        <rFont val="Times New Roman"/>
        <family val="1"/>
        <charset val="204"/>
      </rPr>
      <t>ятихатки
(у т.ч. ПКД)</t>
    </r>
  </si>
  <si>
    <t>Будівництво ДНЗ по вул. Центральна, 10а, смт. Іларіонове Синельниківського р-ну
(у т.ч. ПКД)</t>
  </si>
  <si>
    <t>Реконструкція частини будівлі Дерезуватської СЗШ Синельниківського району під навчально-виховний комплекс (у т.ч. ПКД)</t>
  </si>
  <si>
    <t>Капітальний ремонт будинку культури по вул. Центральна, 21 в смт. Роздори Синельниківського району Дніпропетровської обл. (у т.ч. ПКД)</t>
  </si>
  <si>
    <t xml:space="preserve">Реконструкція дошкільного закладу в с. Василівка Солонянського району. Коригування </t>
  </si>
  <si>
    <t>Реконструкція будівлі ДНЗ ясла-садок „Малятко” в смт Новопокровка Солонянського району (у т.ч. ПКД)</t>
  </si>
  <si>
    <t>Капітальний ремонт спортивної зали в с. Олександропіль Солонянського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</si>
  <si>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 ч. ПКД)</t>
  </si>
  <si>
    <t>Капітальний ремонт (санація) будівель дитячого дошкільного навчального закладу № 1 „Чайка”, дитячого дошкільного навчального закладу № 2 „Ромашка”, дитячого дошкільного навчального закладу № 3 „Берізка” смт Софіївка Дніпропетровської області (коригування), у т.ч. ПКД</t>
  </si>
  <si>
    <t>Капітальний ремонт приміщення будинку культури Виводівської територіальної громади Томаківського району під ЦНАП (у т.ч.ПКД)</t>
  </si>
  <si>
    <t>Реконструкція стадіону Томаківської  ЗОШ I ‒ III ступенів № 1 по вул. Ватутіна, 7 в смт Томаківка (у т.ч. ПКД)</t>
  </si>
  <si>
    <t>Реконструкція Томаківського НВК „ЗОШ І ‒ ІІІ ступенів - ДНЗ” № 1 Томаківського району Дніпропетровської області по вул. Ватутіна, 7 (у т.ч. ПКД)</t>
  </si>
  <si>
    <t>Капітальний ремонт Томаківського НВК „ЗОШ І ‒ ІІІ ступенів ДНЗ” № 1 Томаківського району Дніпропетровської області (у т.ч. ПКД)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</si>
  <si>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</si>
  <si>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Реконструкція глядацьких трибун з улаштуванням навісу фізкультурно-спортивного комплексу ім. А. Скорука по вул. Б. Хмельницького, 48а в
смт Томаківка Томаківського району (у т.ч. ПКД)</t>
  </si>
  <si>
    <t>Капітальний ремонт ДНЗ „Казка” в смт Томаківка, вул. Пушкіна, 24 Томаківського району (у т.ч. ПКД)</t>
  </si>
  <si>
    <t>Реконструкція аптеки під багатоквартирний житловий будинок по
вул. 14 Гвардійської дивізії, 12  в смт Царичанка Дніпропетровської області (у т. ч. ПКД)</t>
  </si>
  <si>
    <t>Могилівський пансіонат геріатрії. Реконструкція.  Посилення фундаментів.
с. Могилів-1 Царичанського району Дніпропетровської області. Коригування</t>
  </si>
  <si>
    <t>Молодіжнянський навчально-виховний комплекс „Загальноосвітній навчальний заклад І ‒ ІІІ ступенів ‒ дошкільний навчальний заклад” Царичанського району ‒ реконструкція, сел. Молодіжне, вул. Леніна, 26. Коригування</t>
  </si>
  <si>
    <t>Незавершене будівництво клуба (ІІ черга) за адресою: с. Ляшківка Царичанського району Дніпропетровської області під дитячий дошкільний заклад. Нове будівництво</t>
  </si>
  <si>
    <t>Реконструкція Царичанської загальноосвітньої школи І ‒ ІІІ ступенів в
смт Царичанка Дніпропетровської області, вул. Піонерська, 40-а (коригування кошторисної вартості та виділення черг будівництва) (у т.ч. ПКД)</t>
  </si>
  <si>
    <t>Реконструкція стадіону „Діброва” в смт Царичанка Царичанського району, в т.ч. ПКД</t>
  </si>
  <si>
    <t>Реконструкція глядацьких трибун з улаштуванням навісу стадіону „Діброва” в
смт Царичанка, за адресою Дніпропетровська обл., Царичанський район,
смт. Царичанка, вул. Царичанська, 42-В (у т.ч. ПКД)</t>
  </si>
  <si>
    <t>Реконструкція гуртожитку на 100 місць під спальний корпус комунального закладу „Стародобровільський психо-неврологічний інтернат” Дніпропетровської обласної ради” по вул. Степовій, 2в, с. Стародобровільське Широківського району Дніпропетровської обл. (у т.ч. ПКД)</t>
  </si>
  <si>
    <r>
      <rPr>
        <sz val="11"/>
        <rFont val="Times New Roman"/>
        <family val="1"/>
        <charset val="204"/>
      </rPr>
      <t>Юр’ї</t>
    </r>
    <r>
      <rPr>
        <i/>
        <sz val="11"/>
        <rFont val="Times New Roman"/>
        <family val="1"/>
        <charset val="204"/>
      </rPr>
      <t>вський район</t>
    </r>
  </si>
  <si>
    <t>Реконструкція 12-ти квартирного житлового будинку в с. Вербуватівка
Юр’ївського району Дніпропетровської області. Коригування (у т.ч. ПКД)</t>
  </si>
  <si>
    <t>Реконструкція стадіону в смт. Юр’ївка, в т.ч. ПКД</t>
  </si>
  <si>
    <t>Будівництво глядацьких трибун з улаштуванням навісу стадіону в смт. Юр’ївка (у т.ч. ПКД)</t>
  </si>
  <si>
    <t xml:space="preserve">Капітальний ремонт будівлі Юр’ївського районного будинку культури в
смт. Юр’ївка, вул. Центральна, 114, Юр’ївського району, Дніпропетровської області </t>
  </si>
  <si>
    <t>Капітальний ремонт будівлі КЗ Юр’ївський ДНЗ „Пролісок” (ясла-садок) за адресою: смт. Юр’ївка, вул. Центральна, 126А, Юр’ївського району Дніпропетровської області (у т.ч. ПКД)</t>
  </si>
  <si>
    <t>4716330</t>
  </si>
  <si>
    <t>6330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</si>
  <si>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</si>
  <si>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</si>
  <si>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>Реконструкція стадіону  КЗО ССЗШ № 126 з поглибленим вивченням французької мови, м. Дніпро (у т.ч. ПКД)</t>
  </si>
  <si>
    <t>Реконструкція стадіону ЗОШ № 7, м. Марганець, вул. Долгова, 1 (у т.ч. ПКД)</t>
  </si>
  <si>
    <t>Реконструкція стадіону ЗОШ № 9, м. Марганець, кв. Ювілейний, 16 (у т.ч. ПКД)</t>
  </si>
  <si>
    <t>Рекострукція стадіону комунального закладу „Нікопольська середня загальноосвітня школа І – ІІ ступенів № 14” за адресою: Дніпропетровська область, м. Нікополь, вул. Гайдамацька, 33 (у т.ч.ПКД)</t>
  </si>
  <si>
    <t>Реконструкція стадіону КЗ „Нікопольська середня загальньоосвітня школа
І ‒ ІІІ ступенів № 19” м. Нікополь, вул. Добролюбова, 47 (у т.ч. ПКД)</t>
  </si>
  <si>
    <t>Будівництво стадіону КЗ „Нікопольська середня загальньоосвітня школа
І – ІІІ ступенів № 2” м. Нікополь, вул. Героїв Чернобиля, 68 (у т.ч. ПКД)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</si>
  <si>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</si>
  <si>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стадіону  та елементів благоустрою загальноосвітньої школи № 7 за адресою: вул. Воїнів Афганців, 5, м. Синельникове Дніпропетровська область
(у т.ч. ПКД)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</si>
  <si>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 ч. ПКД)</t>
  </si>
  <si>
    <t>Реконструкція стадіону Чаплинської опорної школи Васильківського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</si>
  <si>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</si>
  <si>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Реконструкція стадіону КЗО „Божедарівська середня загальноосвітня школа
І – ІІІ ступенів” Криничанської районної ради (чотири філії), вул. Лагерна, 14-Б,
смт Щорськ, Криничанський район, Дніпропетровська область (у т.ч. ПКД)</t>
  </si>
  <si>
    <t>Реконструкція опорної школи смт. Магдалинівка, вул. Центральна, 12 Магдалинівський район Дніпропетровської області (у т.ч. ПКД)</t>
  </si>
  <si>
    <t>Реконструкція стадіону опорної школи смт. Магдалинівка, вул. Центральна, 12 Магдалинівський район Дніпропетровської області (у т.ч. ПКД)</t>
  </si>
  <si>
    <t>Межiвський район</t>
  </si>
  <si>
    <t>Реконструкція стадіону РКЗО „Межівська СЗШ № 1” (дві філії) вул. Учительська, 7, смт Межова Межівського району Дніпропетровської області (у т.ч. ПКД)</t>
  </si>
  <si>
    <t xml:space="preserve"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‒ III ступенів Синельниківської районної ради Дніпропетровської області” по вул. Європейська 3, смт. Іларіонове (у т.ч. ПКД) </t>
  </si>
  <si>
    <t>Реконструкція стадіону комунального опорного загальноосвітнього навчального закладу "Іларіонівська середня загальноосвітня школа I – III ступенів Синельниківської районної ради Дніпропетровської області" по вул. Європейська, 3, смт Іларіонове (у т.ч. ПКД)</t>
  </si>
  <si>
    <t>Реконструкція стадіону Святовасилівської СШ Солонянського району Дніпропетровської області (у т.ч. ПКД)</t>
  </si>
  <si>
    <t>Реконструкція  Виводівської ЗОШ І ‒ ІІІ ступенів з прибудовою двох дошкільних груп, розташованої за адресою: вул. Надії Кулик, 11 с. Виводове, Томаківський район (у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</si>
  <si>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</si>
  <si>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П’ятихатський район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</si>
  <si>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</si>
  <si>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Реконструкція стадіону та елементів благоустрою Царичанської загальноосвітньої школи І ‒ ІІІ ступенів в смт Царичанка Дніпропетровської області, вул. Соборна,
40-а (у т.ч. ПКД)</t>
  </si>
  <si>
    <t>Реконструкція стадіону опорної КЗ „Карпівська середня загальноосвітня школа
І – ІІІ ступенів” по вул. Молодіжна, 52 в с. Карпівка Широківського району  Дніпропетровської області (у т.ч. ПКД)</t>
  </si>
  <si>
    <t>Реконструкція стадіону СЗОШ № 2, смт Широке Широківського району (у т.ч. ПКД)</t>
  </si>
  <si>
    <t>Реконструкція з енергозбереженням та альтернативним опаленням СЗОШ № 2, по вул. Соборна, буд. 4, смт Широке, Широківського району Дніпропетровської області (у т.ч. ПКД)</t>
  </si>
  <si>
    <t>4716360</t>
  </si>
  <si>
    <t>6360</t>
  </si>
  <si>
    <t>Проведення невідкладних відновлювальних робіт, будівництво та реконструкція лікарень загального профілю</t>
  </si>
  <si>
    <t>Реконструкція покрівлі будівель Комунального закладу „Верхівцевська міська лікарня” Верхньодніпровської районної ради, м. Верхівцеве, вул. Покровська, 2</t>
  </si>
  <si>
    <t>4716380</t>
  </si>
  <si>
    <t>6380</t>
  </si>
  <si>
    <t>Будівництво та реконструкція спеціалізованих лікарень та інших спеціалізованих закладів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</si>
  <si>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
№ 1” ДОР” по вул. Тополина, 41, м. Дніпро” (у т.ч. ПКД)</t>
  </si>
  <si>
    <t xml:space="preserve">Реконструкція покрівлі  нового хірургічного корпусу КЗ „Дніпропетровська обласна клінічна лікарня ім. І.І. Мечникова”, у т.ч. ПКД  </t>
  </si>
  <si>
    <t>Реконструкція корпусу платної поліклініки КЗ „Дніпропетровська обласна клінічна лікарня  ім.І.І. Мечникова” під центр діагностики та реабілітації постраждалих в зоні АТО ( у т.ч. ПКД)</t>
  </si>
  <si>
    <t>Реконструкція головного корпусу  „ДОККЛПО „Фтизіатрія”  вул. Бехтєрєва, 12
м. Дніпропетровськ (у т.ч. ПКД)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</si>
  <si>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
вул. Республіканська, 31 під міський центр з профілактики та боротьби зі СНІДом (у т.ч. ПКД)</t>
  </si>
  <si>
    <t>Реконструкція даху головного  корпусу КЗ „Криворізький протитуберкульозний диспансер № 2” ДОР” по вул. Кемерівська, 35, м. Кривий Ріг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</si>
  <si>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т.ч. ПКД)</t>
  </si>
  <si>
    <t>Реконструкція будівель та споруд майнового комплексу санаторію-профілакторію „Джерело” та бази відпочинку „Затишок” під лікувальний комплекс № 2
КЗ „Криворізький протитуберкульозний диспансер № 2” ДОР”, розташований в
с. Латівка, Широківського р-ну (у т.ч. ПКД)</t>
  </si>
  <si>
    <t>4718800</t>
  </si>
  <si>
    <t xml:space="preserve">Інші субвенції, 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</si>
  <si>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</si>
  <si>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4800000</t>
  </si>
  <si>
    <t>Управління містобудування та архітектури Дніпропетровської обласної державної адміністрації</t>
  </si>
  <si>
    <t>4810000</t>
  </si>
  <si>
    <t>4816430</t>
  </si>
  <si>
    <t>6430</t>
  </si>
  <si>
    <t>0443</t>
  </si>
  <si>
    <t>Розробка схем та проектних рішень масового застосування</t>
  </si>
  <si>
    <t>5300000</t>
  </si>
  <si>
    <t>Управління агропромислового розвитку Дніпропетровської облдержадміністрації</t>
  </si>
  <si>
    <t>5310000</t>
  </si>
  <si>
    <t>5317330</t>
  </si>
  <si>
    <t>7330</t>
  </si>
  <si>
    <t>Програми в галузі сільського господарства, лісового господарства, рибальства та мисливства</t>
  </si>
  <si>
    <t>5318800</t>
  </si>
  <si>
    <t>субвенція з обласного бюджету до місцевих бюджетів на поліпшення матеріально-технічної бази сільсьгосподарських обслуговуючих та виробничих кооперативів</t>
  </si>
  <si>
    <t>6000000</t>
  </si>
  <si>
    <t>Департамент екології та природних ресурсів Дніпропетровської обласної державної адміністрації</t>
  </si>
  <si>
    <t>6010000</t>
  </si>
  <si>
    <t>6018370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</si>
  <si>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</si>
  <si>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регіонів,</t>
  </si>
  <si>
    <t>6600000</t>
  </si>
  <si>
    <t>66</t>
  </si>
  <si>
    <t>Управління інформаційних технологій та електронного урядування Дніпропетровської обласної державної адміністрації</t>
  </si>
  <si>
    <t>6610000</t>
  </si>
  <si>
    <t>6616660</t>
  </si>
  <si>
    <t>6660</t>
  </si>
  <si>
    <t>Зв҆язок, телекомунікації та інформатика</t>
  </si>
  <si>
    <t>6616662</t>
  </si>
  <si>
    <t>170901</t>
  </si>
  <si>
    <t>0460</t>
  </si>
  <si>
    <t>Національна програма інформатизації</t>
  </si>
  <si>
    <t>6700000</t>
  </si>
  <si>
    <t>Управління взаємодії з правоохоронними органами та оборонної роботи облдержадміністрації</t>
  </si>
  <si>
    <t>6710000</t>
  </si>
  <si>
    <t>6718370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</si>
  <si>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</si>
  <si>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6800000</t>
  </si>
  <si>
    <t>68</t>
  </si>
  <si>
    <t>Управління цивільного захистуДніпропетровської обласної державної адміністрації</t>
  </si>
  <si>
    <t>6810000</t>
  </si>
  <si>
    <t>6817810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</si>
  <si>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</si>
  <si>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</si>
  <si>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</si>
  <si>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6818370</t>
  </si>
  <si>
    <t>7600000</t>
  </si>
  <si>
    <t>76</t>
  </si>
  <si>
    <t>Департамент фінансів Дніпропетровської обласної державної адміністрації</t>
  </si>
  <si>
    <t>7610000</t>
  </si>
  <si>
    <t>7618370</t>
  </si>
  <si>
    <t>250344</t>
  </si>
  <si>
    <t>7618440</t>
  </si>
  <si>
    <t>8440</t>
  </si>
  <si>
    <t>Субвенція з державного бюджету  місцевим бюджетам на здійснення заходів щодо соціально-економічного розвитку окремих територій</t>
  </si>
  <si>
    <t>Усього видатків по обласному бюджету</t>
  </si>
  <si>
    <t>Перший заступник голови обласної ради</t>
  </si>
  <si>
    <t>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</si>
</sst>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_ ;[Red]\-0.0\ "/>
  </numFmts>
  <fonts count="47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b/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1" applyNumberFormat="0" applyAlignment="0" applyProtection="0"/>
    <xf numFmtId="0" fontId="5" fillId="19" borderId="2" applyNumberFormat="0" applyAlignment="0" applyProtection="0"/>
    <xf numFmtId="0" fontId="10" fillId="19" borderId="1" applyNumberFormat="0" applyAlignment="0" applyProtection="0"/>
    <xf numFmtId="0" fontId="28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>
      <alignment vertical="top"/>
    </xf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5" fillId="0" borderId="0"/>
    <xf numFmtId="0" fontId="14" fillId="0" borderId="0"/>
    <xf numFmtId="0" fontId="16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1" borderId="6" applyNumberFormat="0" applyFont="0" applyAlignment="0" applyProtection="0"/>
    <xf numFmtId="0" fontId="1" fillId="21" borderId="6" applyNumberFormat="0" applyFont="0" applyAlignment="0" applyProtection="0"/>
    <xf numFmtId="0" fontId="2" fillId="21" borderId="6" applyNumberFormat="0" applyFont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9" borderId="0" applyNumberFormat="0" applyBorder="0" applyAlignment="0" applyProtection="0"/>
  </cellStyleXfs>
  <cellXfs count="141">
    <xf numFmtId="0" fontId="0" fillId="0" borderId="0" xfId="0"/>
    <xf numFmtId="0" fontId="29" fillId="0" borderId="0" xfId="63" applyNumberFormat="1" applyFont="1" applyFill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Alignment="1" applyProtection="1">
      <alignment horizontal="left" vertical="center" wrapText="1"/>
    </xf>
    <xf numFmtId="0" fontId="33" fillId="0" borderId="0" xfId="0" applyNumberFormat="1" applyFont="1" applyFill="1" applyAlignment="1" applyProtection="1">
      <alignment horizontal="center" vertical="center" wrapText="1"/>
    </xf>
    <xf numFmtId="0" fontId="35" fillId="0" borderId="0" xfId="62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7" fillId="0" borderId="0" xfId="62" applyFont="1" applyFill="1" applyAlignment="1">
      <alignment horizontal="center"/>
    </xf>
    <xf numFmtId="0" fontId="35" fillId="0" borderId="0" xfId="62" applyFont="1" applyFill="1" applyAlignment="1">
      <alignment horizontal="center"/>
    </xf>
    <xf numFmtId="0" fontId="2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justify" vertical="center" wrapText="1"/>
    </xf>
    <xf numFmtId="0" fontId="2" fillId="0" borderId="0" xfId="0" applyNumberFormat="1" applyFont="1" applyFill="1" applyAlignment="1" applyProtection="1">
      <alignment horizont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justify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8" fillId="0" borderId="8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Alignment="1" applyProtection="1">
      <alignment horizontal="center" vertical="top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Font="1" applyFill="1"/>
    <xf numFmtId="0" fontId="20" fillId="0" borderId="7" xfId="0" applyNumberFormat="1" applyFont="1" applyFill="1" applyBorder="1" applyAlignment="1">
      <alignment horizontal="left" vertical="center" wrapText="1"/>
    </xf>
    <xf numFmtId="0" fontId="20" fillId="0" borderId="7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0" fillId="0" borderId="7" xfId="55" applyNumberFormat="1" applyFont="1" applyFill="1" applyBorder="1" applyAlignment="1">
      <alignment vertical="center"/>
    </xf>
    <xf numFmtId="164" fontId="20" fillId="0" borderId="7" xfId="55" applyNumberFormat="1" applyFont="1" applyFill="1" applyBorder="1" applyAlignment="1">
      <alignment vertical="center"/>
    </xf>
    <xf numFmtId="3" fontId="31" fillId="0" borderId="7" xfId="55" applyNumberFormat="1" applyFont="1" applyFill="1" applyBorder="1" applyAlignment="1">
      <alignment vertical="center"/>
    </xf>
    <xf numFmtId="164" fontId="31" fillId="0" borderId="7" xfId="55" applyNumberFormat="1" applyFont="1" applyFill="1" applyBorder="1" applyAlignment="1">
      <alignment vertical="center"/>
    </xf>
    <xf numFmtId="3" fontId="23" fillId="0" borderId="7" xfId="55" applyNumberFormat="1" applyFont="1" applyFill="1" applyBorder="1" applyAlignment="1">
      <alignment vertical="center"/>
    </xf>
    <xf numFmtId="164" fontId="23" fillId="0" borderId="7" xfId="55" applyNumberFormat="1" applyFont="1" applyFill="1" applyBorder="1" applyAlignment="1">
      <alignment vertical="center"/>
    </xf>
    <xf numFmtId="0" fontId="33" fillId="0" borderId="0" xfId="0" applyNumberFormat="1" applyFont="1" applyFill="1" applyAlignment="1" applyProtection="1"/>
    <xf numFmtId="0" fontId="34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6" fillId="0" borderId="0" xfId="62" applyFont="1" applyFill="1" applyAlignment="1"/>
    <xf numFmtId="4" fontId="31" fillId="0" borderId="7" xfId="55" applyNumberFormat="1" applyFont="1" applyFill="1" applyBorder="1" applyAlignment="1">
      <alignment vertical="center"/>
    </xf>
    <xf numFmtId="4" fontId="20" fillId="0" borderId="7" xfId="55" applyNumberFormat="1" applyFont="1" applyFill="1" applyBorder="1" applyAlignment="1">
      <alignment vertical="center"/>
    </xf>
    <xf numFmtId="4" fontId="23" fillId="0" borderId="7" xfId="55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justify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3" fontId="19" fillId="0" borderId="9" xfId="55" applyNumberFormat="1" applyFont="1" applyFill="1" applyBorder="1" applyAlignment="1">
      <alignment vertical="center"/>
    </xf>
    <xf numFmtId="164" fontId="19" fillId="0" borderId="9" xfId="55" applyNumberFormat="1" applyFont="1" applyFill="1" applyBorder="1" applyAlignment="1">
      <alignment vertical="center"/>
    </xf>
    <xf numFmtId="4" fontId="19" fillId="0" borderId="9" xfId="55" applyNumberFormat="1" applyFont="1" applyFill="1" applyBorder="1" applyAlignment="1">
      <alignment vertical="center"/>
    </xf>
    <xf numFmtId="3" fontId="2" fillId="0" borderId="0" xfId="0" applyNumberFormat="1" applyFont="1" applyFill="1" applyBorder="1"/>
    <xf numFmtId="49" fontId="19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30" fillId="0" borderId="10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/>
    <xf numFmtId="164" fontId="12" fillId="0" borderId="10" xfId="55" applyNumberFormat="1" applyFont="1" applyFill="1" applyBorder="1" applyAlignment="1">
      <alignment vertical="center"/>
    </xf>
    <xf numFmtId="164" fontId="38" fillId="0" borderId="10" xfId="55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wrapText="1"/>
    </xf>
    <xf numFmtId="49" fontId="42" fillId="0" borderId="7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3" fontId="20" fillId="0" borderId="13" xfId="55" applyNumberFormat="1" applyFont="1" applyFill="1" applyBorder="1" applyAlignment="1">
      <alignment vertical="center"/>
    </xf>
    <xf numFmtId="164" fontId="20" fillId="0" borderId="13" xfId="55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 wrapText="1"/>
    </xf>
    <xf numFmtId="4" fontId="20" fillId="0" borderId="13" xfId="55" applyNumberFormat="1" applyFont="1" applyFill="1" applyBorder="1" applyAlignment="1">
      <alignment vertical="center"/>
    </xf>
    <xf numFmtId="3" fontId="19" fillId="0" borderId="7" xfId="55" applyNumberFormat="1" applyFont="1" applyFill="1" applyBorder="1" applyAlignment="1">
      <alignment vertical="center"/>
    </xf>
    <xf numFmtId="164" fontId="19" fillId="0" borderId="7" xfId="55" applyNumberFormat="1" applyFont="1" applyFill="1" applyBorder="1" applyAlignment="1">
      <alignment vertical="center"/>
    </xf>
    <xf numFmtId="0" fontId="12" fillId="0" borderId="10" xfId="0" applyFont="1" applyFill="1" applyBorder="1"/>
    <xf numFmtId="4" fontId="23" fillId="0" borderId="14" xfId="55" applyNumberFormat="1" applyFont="1" applyFill="1" applyBorder="1" applyAlignment="1">
      <alignment vertical="center"/>
    </xf>
    <xf numFmtId="3" fontId="13" fillId="0" borderId="10" xfId="0" applyNumberFormat="1" applyFont="1" applyFill="1" applyBorder="1"/>
    <xf numFmtId="49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4" fontId="31" fillId="0" borderId="13" xfId="55" applyNumberFormat="1" applyFont="1" applyFill="1" applyBorder="1" applyAlignment="1">
      <alignment vertical="center"/>
    </xf>
    <xf numFmtId="0" fontId="2" fillId="0" borderId="15" xfId="0" applyFont="1" applyFill="1" applyBorder="1"/>
    <xf numFmtId="49" fontId="20" fillId="0" borderId="12" xfId="0" applyNumberFormat="1" applyFont="1" applyFill="1" applyBorder="1" applyAlignment="1">
      <alignment horizontal="center" vertical="center" wrapText="1"/>
    </xf>
    <xf numFmtId="3" fontId="20" fillId="0" borderId="12" xfId="55" applyNumberFormat="1" applyFont="1" applyFill="1" applyBorder="1" applyAlignment="1">
      <alignment vertical="center"/>
    </xf>
    <xf numFmtId="164" fontId="20" fillId="0" borderId="12" xfId="55" applyNumberFormat="1" applyFont="1" applyFill="1" applyBorder="1" applyAlignment="1">
      <alignment vertical="center"/>
    </xf>
    <xf numFmtId="4" fontId="20" fillId="0" borderId="12" xfId="55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lef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/>
    <xf numFmtId="0" fontId="20" fillId="0" borderId="7" xfId="0" applyFont="1" applyFill="1" applyBorder="1" applyAlignment="1">
      <alignment vertical="top" wrapText="1"/>
    </xf>
    <xf numFmtId="0" fontId="44" fillId="0" borderId="7" xfId="0" applyFont="1" applyFill="1" applyBorder="1" applyAlignment="1"/>
    <xf numFmtId="164" fontId="31" fillId="0" borderId="16" xfId="55" applyNumberFormat="1" applyFont="1" applyFill="1" applyBorder="1" applyAlignment="1">
      <alignment vertical="center"/>
    </xf>
    <xf numFmtId="4" fontId="30" fillId="0" borderId="10" xfId="0" applyNumberFormat="1" applyFont="1" applyFill="1" applyBorder="1"/>
    <xf numFmtId="3" fontId="30" fillId="0" borderId="10" xfId="0" applyNumberFormat="1" applyFont="1" applyFill="1" applyBorder="1"/>
    <xf numFmtId="49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justify" vertical="center" wrapText="1"/>
    </xf>
    <xf numFmtId="3" fontId="31" fillId="0" borderId="16" xfId="55" applyNumberFormat="1" applyFont="1" applyFill="1" applyBorder="1" applyAlignment="1">
      <alignment vertical="center"/>
    </xf>
    <xf numFmtId="3" fontId="20" fillId="0" borderId="16" xfId="55" applyNumberFormat="1" applyFont="1" applyFill="1" applyBorder="1" applyAlignment="1">
      <alignment vertical="center"/>
    </xf>
    <xf numFmtId="164" fontId="20" fillId="0" borderId="16" xfId="55" applyNumberFormat="1" applyFont="1" applyFill="1" applyBorder="1" applyAlignment="1">
      <alignment vertical="center"/>
    </xf>
    <xf numFmtId="4" fontId="20" fillId="0" borderId="16" xfId="55" applyNumberFormat="1" applyFont="1" applyFill="1" applyBorder="1" applyAlignment="1">
      <alignment vertical="center"/>
    </xf>
    <xf numFmtId="49" fontId="23" fillId="0" borderId="16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/>
    <xf numFmtId="0" fontId="23" fillId="0" borderId="13" xfId="0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4" fontId="23" fillId="0" borderId="7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center"/>
    </xf>
    <xf numFmtId="0" fontId="30" fillId="0" borderId="17" xfId="0" applyFont="1" applyFill="1" applyBorder="1"/>
    <xf numFmtId="4" fontId="30" fillId="0" borderId="17" xfId="0" applyNumberFormat="1" applyFont="1" applyFill="1" applyBorder="1"/>
    <xf numFmtId="4" fontId="2" fillId="0" borderId="10" xfId="0" applyNumberFormat="1" applyFont="1" applyFill="1" applyBorder="1"/>
    <xf numFmtId="3" fontId="2" fillId="0" borderId="10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/>
    <xf numFmtId="0" fontId="2" fillId="0" borderId="10" xfId="0" applyFont="1" applyFill="1" applyBorder="1" applyAlignment="1">
      <alignment vertical="center"/>
    </xf>
    <xf numFmtId="49" fontId="31" fillId="0" borderId="18" xfId="0" applyNumberFormat="1" applyFont="1" applyFill="1" applyBorder="1" applyAlignment="1" applyProtection="1">
      <alignment horizontal="center" vertical="justify"/>
    </xf>
    <xf numFmtId="49" fontId="31" fillId="0" borderId="19" xfId="0" applyNumberFormat="1" applyFont="1" applyFill="1" applyBorder="1" applyAlignment="1" applyProtection="1">
      <alignment horizontal="center" vertical="justify"/>
    </xf>
    <xf numFmtId="49" fontId="31" fillId="0" borderId="18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justify" vertical="center" wrapText="1"/>
    </xf>
    <xf numFmtId="3" fontId="31" fillId="0" borderId="18" xfId="55" applyNumberFormat="1" applyFont="1" applyFill="1" applyBorder="1" applyAlignment="1">
      <alignment vertical="center"/>
    </xf>
    <xf numFmtId="164" fontId="31" fillId="0" borderId="18" xfId="55" applyNumberFormat="1" applyFont="1" applyFill="1" applyBorder="1" applyAlignment="1">
      <alignment vertical="center"/>
    </xf>
    <xf numFmtId="4" fontId="31" fillId="0" borderId="18" xfId="55" applyNumberFormat="1" applyFont="1" applyFill="1" applyBorder="1" applyAlignment="1">
      <alignment vertical="center"/>
    </xf>
    <xf numFmtId="0" fontId="30" fillId="0" borderId="0" xfId="0" applyFont="1" applyFill="1" applyBorder="1"/>
    <xf numFmtId="0" fontId="30" fillId="0" borderId="0" xfId="0" applyFont="1" applyFill="1"/>
    <xf numFmtId="49" fontId="31" fillId="0" borderId="16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justify" vertical="center" wrapText="1"/>
    </xf>
    <xf numFmtId="4" fontId="31" fillId="0" borderId="16" xfId="55" applyNumberFormat="1" applyFont="1" applyFill="1" applyBorder="1" applyAlignment="1">
      <alignment vertical="center"/>
    </xf>
    <xf numFmtId="164" fontId="20" fillId="0" borderId="12" xfId="0" applyNumberFormat="1" applyFont="1" applyFill="1" applyBorder="1" applyAlignment="1">
      <alignment horizontal="right" vertical="center" wrapText="1"/>
    </xf>
    <xf numFmtId="4" fontId="20" fillId="0" borderId="7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0" fontId="20" fillId="0" borderId="7" xfId="0" applyFont="1" applyFill="1" applyBorder="1" applyAlignment="1">
      <alignment vertical="center" wrapText="1"/>
    </xf>
    <xf numFmtId="3" fontId="20" fillId="0" borderId="14" xfId="55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justify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33" fillId="0" borderId="0" xfId="0" applyNumberFormat="1" applyFont="1" applyFill="1" applyAlignment="1" applyProtection="1">
      <alignment horizontal="center" vertical="center" wrapText="1"/>
    </xf>
  </cellXfs>
  <cellStyles count="89">
    <cellStyle name="20% - Акцент1" xfId="71" hidden="1"/>
    <cellStyle name="20% - Акцент1 2" xfId="1"/>
    <cellStyle name="20% - Акцент1_Додаток 5..." xfId="2"/>
    <cellStyle name="20% - Акцент2" xfId="74" hidden="1"/>
    <cellStyle name="20% - Акцент2 2" xfId="3"/>
    <cellStyle name="20% - Акцент2_Додаток 5..." xfId="4"/>
    <cellStyle name="20% - Акцент3" xfId="77" hidden="1"/>
    <cellStyle name="20% - Акцент3 2" xfId="5"/>
    <cellStyle name="20% - Акцент3_Додаток 5..." xfId="6"/>
    <cellStyle name="20% - Акцент4" xfId="80" hidden="1"/>
    <cellStyle name="20% - Акцент4 2" xfId="7"/>
    <cellStyle name="20% - Акцент4_Додаток 5..." xfId="8"/>
    <cellStyle name="20% - Акцент5" xfId="83" hidden="1"/>
    <cellStyle name="20% - Акцент5 2" xfId="9"/>
    <cellStyle name="20% - Акцент5_Додаток 5..." xfId="10"/>
    <cellStyle name="20% - Акцент6" xfId="86" hidden="1"/>
    <cellStyle name="20% - Акцент6 2" xfId="11"/>
    <cellStyle name="20% - Акцент6_Додаток 5..." xfId="12"/>
    <cellStyle name="40% - Акцент1" xfId="72" hidden="1"/>
    <cellStyle name="40% - Акцент1 2" xfId="13"/>
    <cellStyle name="40% - Акцент1_Додаток 5..." xfId="14"/>
    <cellStyle name="40% - Акцент2" xfId="75" hidden="1"/>
    <cellStyle name="40% - Акцент2 2" xfId="15"/>
    <cellStyle name="40% - Акцент2_Додаток 5..." xfId="16"/>
    <cellStyle name="40% - Акцент3" xfId="78" hidden="1"/>
    <cellStyle name="40% - Акцент3 2" xfId="17"/>
    <cellStyle name="40% - Акцент3_Додаток 5..." xfId="18"/>
    <cellStyle name="40% - Акцент4" xfId="81" hidden="1"/>
    <cellStyle name="40% - Акцент4 2" xfId="19"/>
    <cellStyle name="40% - Акцент4_Додаток 5..." xfId="20"/>
    <cellStyle name="40% - Акцент5" xfId="84" hidden="1"/>
    <cellStyle name="40% - Акцент5 2" xfId="21"/>
    <cellStyle name="40% - Акцент5_Додаток 5..." xfId="22"/>
    <cellStyle name="40% - Акцент6" xfId="87" hidden="1"/>
    <cellStyle name="40% - Акцент6 2" xfId="23"/>
    <cellStyle name="40% - Акцент6_Додаток 5..." xfId="24"/>
    <cellStyle name="60% - Акцент1" xfId="73" hidden="1"/>
    <cellStyle name="60% - Акцент2" xfId="76" hidden="1"/>
    <cellStyle name="60% - Акцент3" xfId="79" hidden="1"/>
    <cellStyle name="60% - Акцент4" xfId="82" hidden="1"/>
    <cellStyle name="60% - Акцент5" xfId="85" hidden="1"/>
    <cellStyle name="60% - Акцент6" xfId="88" hidden="1"/>
    <cellStyle name="Normal_meresha_07" xfId="25"/>
    <cellStyle name="Акцент1" xfId="26"/>
    <cellStyle name="Акцент2" xfId="27"/>
    <cellStyle name="Акцент3" xfId="28"/>
    <cellStyle name="Акцент4" xfId="29"/>
    <cellStyle name="Акцент5" xfId="30"/>
    <cellStyle name="Акцент6" xfId="31"/>
    <cellStyle name="Ввід" xfId="32"/>
    <cellStyle name="Вывод" xfId="33"/>
    <cellStyle name="Вычисление" xfId="34"/>
    <cellStyle name="Добре" xfId="35"/>
    <cellStyle name="Звичайний 10" xfId="36"/>
    <cellStyle name="Звичайний 11" xfId="37"/>
    <cellStyle name="Звичайний 12" xfId="38"/>
    <cellStyle name="Звичайний 13" xfId="39"/>
    <cellStyle name="Звичайний 14" xfId="40"/>
    <cellStyle name="Звичайний 15" xfId="41"/>
    <cellStyle name="Звичайний 16" xfId="42"/>
    <cellStyle name="Звичайний 17" xfId="43"/>
    <cellStyle name="Звичайний 18" xfId="44"/>
    <cellStyle name="Звичайний 19" xfId="45"/>
    <cellStyle name="Звичайний 2" xfId="46"/>
    <cellStyle name="Звичайний 20" xfId="47"/>
    <cellStyle name="Звичайний 3" xfId="48"/>
    <cellStyle name="Звичайний 4" xfId="49"/>
    <cellStyle name="Звичайний 5" xfId="50"/>
    <cellStyle name="Звичайний 6" xfId="51"/>
    <cellStyle name="Звичайний 7" xfId="52"/>
    <cellStyle name="Звичайний 8" xfId="53"/>
    <cellStyle name="Звичайний 9" xfId="54"/>
    <cellStyle name="Звичайний_Додаток _ 3 зм_ни 4575" xfId="55"/>
    <cellStyle name="Зв'язана клітинка" xfId="56"/>
    <cellStyle name="Итог" xfId="57"/>
    <cellStyle name="Контрольна клітинка" xfId="58"/>
    <cellStyle name="Назва" xfId="59"/>
    <cellStyle name="Нейтральный" xfId="60"/>
    <cellStyle name="Обычный" xfId="0" builtinId="0"/>
    <cellStyle name="Обычный 2" xfId="61"/>
    <cellStyle name="Обычный_Додаток 6 джерела.." xfId="62"/>
    <cellStyle name="Обычный_Додаток7 програми" xfId="63"/>
    <cellStyle name="Плохой" xfId="64"/>
    <cellStyle name="Пояснение" xfId="65"/>
    <cellStyle name="Примечание" xfId="66"/>
    <cellStyle name="Примечание 2" xfId="67"/>
    <cellStyle name="Примечание_Додаток 7 к розпорядж" xfId="68"/>
    <cellStyle name="Стиль 1" xfId="69"/>
    <cellStyle name="Текст попередження" xfId="7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1110"/>
  <sheetViews>
    <sheetView showZeros="0" tabSelected="1" view="pageBreakPreview" zoomScaleNormal="100" zoomScaleSheetLayoutView="100" workbookViewId="0">
      <pane xSplit="5" ySplit="7" topLeftCell="F702" activePane="bottomRight" state="frozen"/>
      <selection pane="topRight" activeCell="F1" sqref="F1"/>
      <selection pane="bottomLeft" activeCell="B6" sqref="B6"/>
      <selection pane="bottomRight" activeCell="H741" sqref="H741"/>
    </sheetView>
  </sheetViews>
  <sheetFormatPr defaultColWidth="9.1640625" defaultRowHeight="48.75" customHeight="1" x14ac:dyDescent="0.2"/>
  <cols>
    <col min="1" max="1" width="13" style="19" customWidth="1"/>
    <col min="2" max="2" width="12.33203125" style="19" customWidth="1"/>
    <col min="3" max="3" width="13.83203125" style="19" hidden="1" customWidth="1"/>
    <col min="4" max="4" width="11.83203125" style="10" customWidth="1"/>
    <col min="5" max="5" width="64.33203125" style="10" customWidth="1"/>
    <col min="6" max="6" width="80" style="10" customWidth="1"/>
    <col min="7" max="7" width="17" style="10" customWidth="1"/>
    <col min="8" max="8" width="16.83203125" style="10" customWidth="1"/>
    <col min="9" max="9" width="18.1640625" style="10" customWidth="1"/>
    <col min="10" max="10" width="21.1640625" style="10" customWidth="1"/>
    <col min="11" max="11" width="23.1640625" style="13" customWidth="1"/>
    <col min="12" max="12" width="14.5" style="12" customWidth="1"/>
    <col min="13" max="13" width="14.33203125" style="12" customWidth="1"/>
    <col min="14" max="16384" width="9.1640625" style="12"/>
  </cols>
  <sheetData>
    <row r="1" spans="1:13" s="30" customFormat="1" ht="18.75" customHeight="1" x14ac:dyDescent="0.25">
      <c r="A1" s="28"/>
      <c r="B1" s="28"/>
      <c r="C1" s="28"/>
      <c r="D1" s="29"/>
      <c r="E1" s="29"/>
      <c r="F1" s="29"/>
      <c r="G1" s="29"/>
      <c r="H1" s="4" t="s">
        <v>0</v>
      </c>
      <c r="I1" s="4"/>
      <c r="J1" s="4"/>
      <c r="K1" s="5"/>
      <c r="L1" s="5"/>
      <c r="M1" s="5"/>
    </row>
    <row r="2" spans="1:13" s="30" customFormat="1" ht="18.75" customHeight="1" x14ac:dyDescent="0.25">
      <c r="A2" s="28"/>
      <c r="B2" s="28"/>
      <c r="C2" s="28"/>
      <c r="D2" s="29"/>
      <c r="E2" s="29"/>
      <c r="F2" s="29"/>
      <c r="G2" s="29"/>
      <c r="H2" s="4" t="s">
        <v>1</v>
      </c>
      <c r="I2" s="4"/>
      <c r="J2" s="4"/>
      <c r="K2" s="140"/>
      <c r="L2" s="140"/>
      <c r="M2" s="140"/>
    </row>
    <row r="3" spans="1:13" s="30" customFormat="1" ht="18.75" customHeight="1" x14ac:dyDescent="0.25">
      <c r="A3" s="28"/>
      <c r="B3" s="28"/>
      <c r="C3" s="28"/>
      <c r="D3" s="29"/>
      <c r="E3" s="29"/>
      <c r="F3" s="29"/>
      <c r="G3" s="29"/>
      <c r="H3" s="4"/>
      <c r="I3" s="4"/>
      <c r="J3" s="4"/>
      <c r="K3" s="140"/>
      <c r="L3" s="140"/>
      <c r="M3" s="140"/>
    </row>
    <row r="4" spans="1:13" ht="16.5" x14ac:dyDescent="0.2">
      <c r="G4" s="11"/>
      <c r="H4" s="11"/>
      <c r="I4" s="1"/>
      <c r="J4" s="1"/>
    </row>
    <row r="5" spans="1:13" ht="25.5" customHeight="1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3" ht="22.5" customHeight="1" x14ac:dyDescent="0.2">
      <c r="A6" s="26"/>
      <c r="B6" s="26"/>
      <c r="C6" s="26"/>
      <c r="D6" s="26"/>
      <c r="E6" s="26"/>
      <c r="F6" s="14"/>
      <c r="G6" s="14"/>
      <c r="H6" s="15"/>
      <c r="I6" s="14"/>
      <c r="J6" s="27" t="s">
        <v>3</v>
      </c>
    </row>
    <row r="7" spans="1:13" ht="86.25" customHeight="1" x14ac:dyDescent="0.2">
      <c r="A7" s="41" t="s">
        <v>4</v>
      </c>
      <c r="B7" s="42" t="s">
        <v>5</v>
      </c>
      <c r="C7" s="42" t="s">
        <v>6</v>
      </c>
      <c r="D7" s="42" t="s">
        <v>7</v>
      </c>
      <c r="E7" s="42" t="s">
        <v>8</v>
      </c>
      <c r="F7" s="43" t="s">
        <v>9</v>
      </c>
      <c r="G7" s="43" t="s">
        <v>10</v>
      </c>
      <c r="H7" s="43" t="s">
        <v>11</v>
      </c>
      <c r="I7" s="43" t="s">
        <v>12</v>
      </c>
      <c r="J7" s="43" t="s">
        <v>13</v>
      </c>
    </row>
    <row r="8" spans="1:13" s="125" customFormat="1" ht="14.25" x14ac:dyDescent="0.2">
      <c r="A8" s="117" t="s">
        <v>14</v>
      </c>
      <c r="B8" s="118"/>
      <c r="C8" s="118" t="s">
        <v>15</v>
      </c>
      <c r="D8" s="119"/>
      <c r="E8" s="119" t="s">
        <v>16</v>
      </c>
      <c r="F8" s="120"/>
      <c r="G8" s="121"/>
      <c r="H8" s="122"/>
      <c r="I8" s="122"/>
      <c r="J8" s="123">
        <f>J9</f>
        <v>121522112</v>
      </c>
      <c r="K8" s="124"/>
    </row>
    <row r="9" spans="1:13" s="115" customFormat="1" ht="14.25" x14ac:dyDescent="0.2">
      <c r="A9" s="126" t="s">
        <v>17</v>
      </c>
      <c r="B9" s="55"/>
      <c r="C9" s="23" t="s">
        <v>15</v>
      </c>
      <c r="D9" s="55"/>
      <c r="E9" s="127" t="s">
        <v>16</v>
      </c>
      <c r="F9" s="56"/>
      <c r="G9" s="100"/>
      <c r="H9" s="95"/>
      <c r="I9" s="95"/>
      <c r="J9" s="45">
        <f>J10+J12+J13+J14+J11</f>
        <v>121522112</v>
      </c>
      <c r="K9" s="114"/>
    </row>
    <row r="10" spans="1:13" s="110" customFormat="1" ht="64.5" customHeight="1" x14ac:dyDescent="0.2">
      <c r="A10" s="16" t="s">
        <v>18</v>
      </c>
      <c r="B10" s="16" t="s">
        <v>19</v>
      </c>
      <c r="C10" s="16" t="s">
        <v>20</v>
      </c>
      <c r="D10" s="16" t="s">
        <v>21</v>
      </c>
      <c r="E10" s="17" t="s">
        <v>22</v>
      </c>
      <c r="F10" s="18" t="s">
        <v>23</v>
      </c>
      <c r="G10" s="100"/>
      <c r="H10" s="95"/>
      <c r="I10" s="95"/>
      <c r="J10" s="46">
        <f>300000+99900+199900+30000+40000</f>
        <v>669800</v>
      </c>
      <c r="K10" s="111">
        <f>J8-J12-J11</f>
        <v>22444900</v>
      </c>
    </row>
    <row r="11" spans="1:13" s="57" customFormat="1" ht="15" x14ac:dyDescent="0.2">
      <c r="A11" s="16" t="s">
        <v>24</v>
      </c>
      <c r="B11" s="16" t="s">
        <v>25</v>
      </c>
      <c r="C11" s="16"/>
      <c r="D11" s="16" t="s">
        <v>26</v>
      </c>
      <c r="E11" s="17" t="s">
        <v>27</v>
      </c>
      <c r="F11" s="18" t="s">
        <v>23</v>
      </c>
      <c r="G11" s="36"/>
      <c r="H11" s="37"/>
      <c r="I11" s="37"/>
      <c r="J11" s="46">
        <v>100000</v>
      </c>
    </row>
    <row r="12" spans="1:13" s="58" customFormat="1" ht="15" x14ac:dyDescent="0.2">
      <c r="A12" s="16" t="s">
        <v>28</v>
      </c>
      <c r="B12" s="16" t="s">
        <v>29</v>
      </c>
      <c r="C12" s="16" t="s">
        <v>30</v>
      </c>
      <c r="D12" s="16" t="s">
        <v>31</v>
      </c>
      <c r="E12" s="17" t="s">
        <v>32</v>
      </c>
      <c r="F12" s="18" t="s">
        <v>23</v>
      </c>
      <c r="G12" s="34"/>
      <c r="H12" s="35"/>
      <c r="I12" s="35"/>
      <c r="J12" s="46">
        <f>68591700+15458300+2150000+8500000+3000000+1000000-500000+200000+30000-171100-600000+300000+1000000-181688+500000-300000</f>
        <v>98977212</v>
      </c>
      <c r="K12" s="116"/>
    </row>
    <row r="13" spans="1:13" s="58" customFormat="1" ht="15" x14ac:dyDescent="0.2">
      <c r="A13" s="16" t="s">
        <v>33</v>
      </c>
      <c r="B13" s="16" t="s">
        <v>34</v>
      </c>
      <c r="C13" s="16" t="s">
        <v>35</v>
      </c>
      <c r="D13" s="16" t="s">
        <v>36</v>
      </c>
      <c r="E13" s="17" t="s">
        <v>37</v>
      </c>
      <c r="F13" s="18" t="s">
        <v>23</v>
      </c>
      <c r="G13" s="34"/>
      <c r="H13" s="35"/>
      <c r="I13" s="35"/>
      <c r="J13" s="46">
        <f>3000000+1000000+600000-650000+825100</f>
        <v>4775100</v>
      </c>
      <c r="K13" s="59"/>
    </row>
    <row r="14" spans="1:13" s="58" customFormat="1" ht="15" x14ac:dyDescent="0.2">
      <c r="A14" s="16" t="s">
        <v>38</v>
      </c>
      <c r="B14" s="16" t="s">
        <v>39</v>
      </c>
      <c r="C14" s="16" t="s">
        <v>40</v>
      </c>
      <c r="D14" s="16" t="s">
        <v>41</v>
      </c>
      <c r="E14" s="17" t="s">
        <v>42</v>
      </c>
      <c r="F14" s="18"/>
      <c r="G14" s="34"/>
      <c r="H14" s="35"/>
      <c r="I14" s="35"/>
      <c r="J14" s="46">
        <f>J16+J17</f>
        <v>17000000</v>
      </c>
      <c r="K14" s="59"/>
    </row>
    <row r="15" spans="1:13" s="58" customFormat="1" ht="15" x14ac:dyDescent="0.2">
      <c r="A15" s="16"/>
      <c r="B15" s="16"/>
      <c r="C15" s="16"/>
      <c r="D15" s="16"/>
      <c r="E15" s="17" t="s">
        <v>43</v>
      </c>
      <c r="F15" s="18"/>
      <c r="G15" s="34"/>
      <c r="H15" s="35"/>
      <c r="I15" s="35"/>
      <c r="J15" s="46"/>
      <c r="K15" s="59"/>
    </row>
    <row r="16" spans="1:13" s="58" customFormat="1" ht="105" x14ac:dyDescent="0.2">
      <c r="A16" s="16"/>
      <c r="B16" s="16"/>
      <c r="C16" s="16"/>
      <c r="D16" s="16"/>
      <c r="E16" s="17" t="s">
        <v>44</v>
      </c>
      <c r="F16" s="18" t="s">
        <v>23</v>
      </c>
      <c r="G16" s="34"/>
      <c r="H16" s="35"/>
      <c r="I16" s="35"/>
      <c r="J16" s="46">
        <f>10000000+1000000-5000000</f>
        <v>6000000</v>
      </c>
      <c r="K16" s="59"/>
    </row>
    <row r="17" spans="1:12" s="58" customFormat="1" ht="48.75" customHeight="1" x14ac:dyDescent="0.2">
      <c r="A17" s="16"/>
      <c r="B17" s="16"/>
      <c r="C17" s="16"/>
      <c r="D17" s="16"/>
      <c r="E17" s="31" t="s">
        <v>45</v>
      </c>
      <c r="F17" s="18" t="s">
        <v>23</v>
      </c>
      <c r="G17" s="34"/>
      <c r="H17" s="35"/>
      <c r="I17" s="35"/>
      <c r="J17" s="46">
        <f>5000000+1000000+5000000</f>
        <v>11000000</v>
      </c>
      <c r="K17" s="59"/>
    </row>
    <row r="18" spans="1:12" s="57" customFormat="1" ht="28.5" x14ac:dyDescent="0.2">
      <c r="A18" s="23" t="s">
        <v>46</v>
      </c>
      <c r="B18" s="23"/>
      <c r="C18" s="23" t="s">
        <v>47</v>
      </c>
      <c r="D18" s="23"/>
      <c r="E18" s="24" t="s">
        <v>48</v>
      </c>
      <c r="F18" s="25"/>
      <c r="G18" s="36"/>
      <c r="H18" s="37"/>
      <c r="I18" s="37"/>
      <c r="J18" s="45">
        <f>J19</f>
        <v>99873835.569999993</v>
      </c>
      <c r="L18" s="96"/>
    </row>
    <row r="19" spans="1:12" s="57" customFormat="1" ht="28.5" x14ac:dyDescent="0.2">
      <c r="A19" s="23" t="s">
        <v>49</v>
      </c>
      <c r="B19" s="23"/>
      <c r="C19" s="23" t="s">
        <v>47</v>
      </c>
      <c r="D19" s="23"/>
      <c r="E19" s="24" t="s">
        <v>48</v>
      </c>
      <c r="F19" s="25"/>
      <c r="G19" s="36"/>
      <c r="H19" s="37"/>
      <c r="I19" s="37"/>
      <c r="J19" s="45">
        <f>J20+J23+J24+J29+J32+J33+J35+J36+J37+J38+J39+J44+J26+J25+J34</f>
        <v>99873835.569999993</v>
      </c>
      <c r="K19" s="96">
        <f>J19-J22</f>
        <v>99746835.569999993</v>
      </c>
    </row>
    <row r="20" spans="1:12" s="58" customFormat="1" ht="45" x14ac:dyDescent="0.2">
      <c r="A20" s="16" t="s">
        <v>50</v>
      </c>
      <c r="B20" s="16" t="s">
        <v>51</v>
      </c>
      <c r="C20" s="16" t="s">
        <v>52</v>
      </c>
      <c r="D20" s="16" t="s">
        <v>53</v>
      </c>
      <c r="E20" s="17" t="s">
        <v>54</v>
      </c>
      <c r="F20" s="18" t="s">
        <v>23</v>
      </c>
      <c r="G20" s="34"/>
      <c r="H20" s="35"/>
      <c r="I20" s="35"/>
      <c r="J20" s="46">
        <f>2250000+2650000+127000+791000+242676</f>
        <v>6060676</v>
      </c>
    </row>
    <row r="21" spans="1:12" s="58" customFormat="1" ht="15" x14ac:dyDescent="0.2">
      <c r="A21" s="16"/>
      <c r="B21" s="16"/>
      <c r="C21" s="16"/>
      <c r="D21" s="16"/>
      <c r="E21" s="21" t="s">
        <v>43</v>
      </c>
      <c r="F21" s="18"/>
      <c r="G21" s="34"/>
      <c r="H21" s="35"/>
      <c r="I21" s="35"/>
      <c r="J21" s="46"/>
    </row>
    <row r="22" spans="1:12" s="58" customFormat="1" ht="15" x14ac:dyDescent="0.2">
      <c r="A22" s="16"/>
      <c r="B22" s="16"/>
      <c r="C22" s="16"/>
      <c r="D22" s="16"/>
      <c r="E22" s="21" t="s">
        <v>55</v>
      </c>
      <c r="F22" s="18"/>
      <c r="G22" s="34"/>
      <c r="H22" s="35"/>
      <c r="I22" s="35"/>
      <c r="J22" s="47">
        <v>127000</v>
      </c>
    </row>
    <row r="23" spans="1:12" s="58" customFormat="1" ht="67.5" customHeight="1" x14ac:dyDescent="0.2">
      <c r="A23" s="16" t="s">
        <v>56</v>
      </c>
      <c r="B23" s="16">
        <v>1070</v>
      </c>
      <c r="C23" s="16" t="s">
        <v>57</v>
      </c>
      <c r="D23" s="16" t="s">
        <v>53</v>
      </c>
      <c r="E23" s="17" t="s">
        <v>58</v>
      </c>
      <c r="F23" s="18" t="s">
        <v>23</v>
      </c>
      <c r="G23" s="34"/>
      <c r="H23" s="35"/>
      <c r="I23" s="35"/>
      <c r="J23" s="46">
        <f>18590299.26+20000-791000+2810294</f>
        <v>20629593.260000002</v>
      </c>
    </row>
    <row r="24" spans="1:12" s="58" customFormat="1" ht="90" x14ac:dyDescent="0.2">
      <c r="A24" s="16" t="s">
        <v>59</v>
      </c>
      <c r="B24" s="16" t="s">
        <v>60</v>
      </c>
      <c r="C24" s="16" t="s">
        <v>61</v>
      </c>
      <c r="D24" s="16" t="s">
        <v>53</v>
      </c>
      <c r="E24" s="17" t="s">
        <v>62</v>
      </c>
      <c r="F24" s="18" t="s">
        <v>23</v>
      </c>
      <c r="G24" s="34"/>
      <c r="H24" s="35"/>
      <c r="I24" s="35"/>
      <c r="J24" s="46">
        <f>1353616-38.13+107000</f>
        <v>1460577.87</v>
      </c>
    </row>
    <row r="25" spans="1:12" s="58" customFormat="1" ht="30" x14ac:dyDescent="0.2">
      <c r="A25" s="16" t="s">
        <v>63</v>
      </c>
      <c r="B25" s="16" t="s">
        <v>64</v>
      </c>
      <c r="C25" s="16"/>
      <c r="D25" s="16" t="s">
        <v>65</v>
      </c>
      <c r="E25" s="17" t="s">
        <v>66</v>
      </c>
      <c r="F25" s="18" t="s">
        <v>23</v>
      </c>
      <c r="G25" s="34"/>
      <c r="H25" s="35"/>
      <c r="I25" s="35"/>
      <c r="J25" s="46">
        <f>200000+705369</f>
        <v>905369</v>
      </c>
    </row>
    <row r="26" spans="1:12" s="58" customFormat="1" ht="30" x14ac:dyDescent="0.2">
      <c r="A26" s="16" t="s">
        <v>67</v>
      </c>
      <c r="B26" s="16" t="s">
        <v>68</v>
      </c>
      <c r="C26" s="16"/>
      <c r="D26" s="16" t="s">
        <v>69</v>
      </c>
      <c r="E26" s="17" t="s">
        <v>70</v>
      </c>
      <c r="F26" s="18" t="s">
        <v>23</v>
      </c>
      <c r="G26" s="34"/>
      <c r="H26" s="35"/>
      <c r="I26" s="35"/>
      <c r="J26" s="46">
        <f>330000-20000+33000</f>
        <v>343000</v>
      </c>
    </row>
    <row r="27" spans="1:12" s="58" customFormat="1" ht="15" x14ac:dyDescent="0.2">
      <c r="A27" s="16"/>
      <c r="B27" s="16"/>
      <c r="C27" s="16"/>
      <c r="D27" s="16"/>
      <c r="E27" s="21" t="s">
        <v>43</v>
      </c>
      <c r="F27" s="18"/>
      <c r="G27" s="34"/>
      <c r="H27" s="35"/>
      <c r="I27" s="35"/>
      <c r="J27" s="46"/>
    </row>
    <row r="28" spans="1:12" s="58" customFormat="1" ht="15" x14ac:dyDescent="0.2">
      <c r="A28" s="16"/>
      <c r="B28" s="16"/>
      <c r="C28" s="16"/>
      <c r="D28" s="16"/>
      <c r="E28" s="21" t="s">
        <v>55</v>
      </c>
      <c r="F28" s="18"/>
      <c r="G28" s="34"/>
      <c r="H28" s="35"/>
      <c r="I28" s="35"/>
      <c r="J28" s="47">
        <f>330000-20000</f>
        <v>310000</v>
      </c>
    </row>
    <row r="29" spans="1:12" s="58" customFormat="1" ht="30" x14ac:dyDescent="0.2">
      <c r="A29" s="16" t="s">
        <v>71</v>
      </c>
      <c r="B29" s="16">
        <v>1120</v>
      </c>
      <c r="C29" s="16" t="s">
        <v>72</v>
      </c>
      <c r="D29" s="16" t="s">
        <v>73</v>
      </c>
      <c r="E29" s="17" t="s">
        <v>74</v>
      </c>
      <c r="F29" s="18" t="s">
        <v>23</v>
      </c>
      <c r="G29" s="34"/>
      <c r="H29" s="35"/>
      <c r="I29" s="35"/>
      <c r="J29" s="46">
        <f>5000000+1500000+390000+4206700-73950+1000000+30000</f>
        <v>12052750</v>
      </c>
    </row>
    <row r="30" spans="1:12" s="58" customFormat="1" ht="15" x14ac:dyDescent="0.2">
      <c r="A30" s="16"/>
      <c r="B30" s="16"/>
      <c r="C30" s="16"/>
      <c r="D30" s="16"/>
      <c r="E30" s="21" t="s">
        <v>43</v>
      </c>
      <c r="F30" s="18"/>
      <c r="G30" s="34"/>
      <c r="H30" s="35"/>
      <c r="I30" s="35"/>
      <c r="J30" s="46"/>
    </row>
    <row r="31" spans="1:12" s="60" customFormat="1" ht="15" x14ac:dyDescent="0.2">
      <c r="A31" s="20"/>
      <c r="B31" s="20"/>
      <c r="C31" s="20"/>
      <c r="D31" s="20"/>
      <c r="E31" s="21" t="s">
        <v>55</v>
      </c>
      <c r="F31" s="22"/>
      <c r="G31" s="38"/>
      <c r="H31" s="39"/>
      <c r="I31" s="39"/>
      <c r="J31" s="47">
        <v>1000000</v>
      </c>
    </row>
    <row r="32" spans="1:12" s="58" customFormat="1" ht="48.75" customHeight="1" x14ac:dyDescent="0.2">
      <c r="A32" s="16" t="s">
        <v>75</v>
      </c>
      <c r="B32" s="16" t="s">
        <v>76</v>
      </c>
      <c r="C32" s="16" t="s">
        <v>77</v>
      </c>
      <c r="D32" s="16" t="s">
        <v>78</v>
      </c>
      <c r="E32" s="17" t="s">
        <v>79</v>
      </c>
      <c r="F32" s="18" t="s">
        <v>23</v>
      </c>
      <c r="G32" s="34"/>
      <c r="H32" s="35"/>
      <c r="I32" s="35"/>
      <c r="J32" s="46">
        <f>750000-705369</f>
        <v>44631</v>
      </c>
    </row>
    <row r="33" spans="1:11" s="58" customFormat="1" ht="30" x14ac:dyDescent="0.2">
      <c r="A33" s="16" t="s">
        <v>80</v>
      </c>
      <c r="B33" s="16" t="s">
        <v>81</v>
      </c>
      <c r="C33" s="16" t="s">
        <v>82</v>
      </c>
      <c r="D33" s="16" t="s">
        <v>83</v>
      </c>
      <c r="E33" s="17" t="s">
        <v>84</v>
      </c>
      <c r="F33" s="18" t="s">
        <v>23</v>
      </c>
      <c r="G33" s="34"/>
      <c r="H33" s="35"/>
      <c r="I33" s="35"/>
      <c r="J33" s="46">
        <v>41600</v>
      </c>
    </row>
    <row r="34" spans="1:11" s="58" customFormat="1" ht="30" x14ac:dyDescent="0.2">
      <c r="A34" s="16" t="s">
        <v>85</v>
      </c>
      <c r="B34" s="16" t="s">
        <v>86</v>
      </c>
      <c r="C34" s="16"/>
      <c r="D34" s="16" t="s">
        <v>26</v>
      </c>
      <c r="E34" s="17" t="s">
        <v>87</v>
      </c>
      <c r="F34" s="18" t="s">
        <v>23</v>
      </c>
      <c r="G34" s="34"/>
      <c r="H34" s="35"/>
      <c r="I34" s="35"/>
      <c r="J34" s="46">
        <v>1200000</v>
      </c>
    </row>
    <row r="35" spans="1:11" s="58" customFormat="1" ht="48.75" customHeight="1" x14ac:dyDescent="0.2">
      <c r="A35" s="16" t="s">
        <v>88</v>
      </c>
      <c r="B35" s="16" t="s">
        <v>89</v>
      </c>
      <c r="C35" s="16" t="s">
        <v>90</v>
      </c>
      <c r="D35" s="16" t="s">
        <v>26</v>
      </c>
      <c r="E35" s="17" t="s">
        <v>91</v>
      </c>
      <c r="F35" s="18" t="s">
        <v>23</v>
      </c>
      <c r="G35" s="34"/>
      <c r="H35" s="35"/>
      <c r="I35" s="35"/>
      <c r="J35" s="46">
        <f>65000-5975</f>
        <v>59025</v>
      </c>
    </row>
    <row r="36" spans="1:11" s="58" customFormat="1" ht="15" x14ac:dyDescent="0.2">
      <c r="A36" s="16" t="s">
        <v>92</v>
      </c>
      <c r="B36" s="16" t="s">
        <v>93</v>
      </c>
      <c r="C36" s="16" t="s">
        <v>94</v>
      </c>
      <c r="D36" s="16" t="s">
        <v>26</v>
      </c>
      <c r="E36" s="17" t="s">
        <v>95</v>
      </c>
      <c r="F36" s="18" t="s">
        <v>23</v>
      </c>
      <c r="G36" s="34"/>
      <c r="H36" s="35"/>
      <c r="I36" s="35"/>
      <c r="J36" s="46">
        <f>134300+5975</f>
        <v>140275</v>
      </c>
    </row>
    <row r="37" spans="1:11" s="58" customFormat="1" ht="15" x14ac:dyDescent="0.2">
      <c r="A37" s="16" t="s">
        <v>96</v>
      </c>
      <c r="B37" s="16" t="s">
        <v>25</v>
      </c>
      <c r="C37" s="16" t="s">
        <v>97</v>
      </c>
      <c r="D37" s="16" t="s">
        <v>26</v>
      </c>
      <c r="E37" s="17" t="s">
        <v>27</v>
      </c>
      <c r="F37" s="18"/>
      <c r="G37" s="34"/>
      <c r="H37" s="35"/>
      <c r="I37" s="35"/>
      <c r="J37" s="46"/>
    </row>
    <row r="38" spans="1:11" s="58" customFormat="1" ht="15" x14ac:dyDescent="0.2">
      <c r="A38" s="16" t="s">
        <v>98</v>
      </c>
      <c r="B38" s="16" t="s">
        <v>99</v>
      </c>
      <c r="C38" s="16" t="s">
        <v>100</v>
      </c>
      <c r="D38" s="16" t="s">
        <v>26</v>
      </c>
      <c r="E38" s="17" t="s">
        <v>101</v>
      </c>
      <c r="F38" s="18" t="s">
        <v>23</v>
      </c>
      <c r="G38" s="34"/>
      <c r="H38" s="35"/>
      <c r="I38" s="35"/>
      <c r="J38" s="46">
        <f>11000000+8107800+200000</f>
        <v>19307800</v>
      </c>
    </row>
    <row r="39" spans="1:11" s="58" customFormat="1" ht="15" x14ac:dyDescent="0.2">
      <c r="A39" s="16" t="s">
        <v>102</v>
      </c>
      <c r="B39" s="16" t="s">
        <v>103</v>
      </c>
      <c r="C39" s="16" t="s">
        <v>104</v>
      </c>
      <c r="D39" s="16" t="s">
        <v>31</v>
      </c>
      <c r="E39" s="17" t="s">
        <v>105</v>
      </c>
      <c r="F39" s="18"/>
      <c r="G39" s="34"/>
      <c r="H39" s="35"/>
      <c r="I39" s="35"/>
      <c r="J39" s="46">
        <f>J41+J42+J43</f>
        <v>5946368.4400000004</v>
      </c>
    </row>
    <row r="40" spans="1:11" s="58" customFormat="1" ht="15" x14ac:dyDescent="0.2">
      <c r="A40" s="16"/>
      <c r="B40" s="16"/>
      <c r="C40" s="16"/>
      <c r="D40" s="16"/>
      <c r="E40" s="17" t="s">
        <v>43</v>
      </c>
      <c r="F40" s="18"/>
      <c r="G40" s="34"/>
      <c r="H40" s="35"/>
      <c r="I40" s="35"/>
      <c r="J40" s="46"/>
    </row>
    <row r="41" spans="1:11" s="58" customFormat="1" ht="75" x14ac:dyDescent="0.2">
      <c r="A41" s="16"/>
      <c r="B41" s="16"/>
      <c r="C41" s="16"/>
      <c r="D41" s="16"/>
      <c r="E41" s="17"/>
      <c r="F41" s="31" t="s">
        <v>106</v>
      </c>
      <c r="G41" s="34"/>
      <c r="H41" s="35"/>
      <c r="I41" s="35"/>
      <c r="J41" s="46">
        <f>250000-242676</f>
        <v>7324</v>
      </c>
    </row>
    <row r="42" spans="1:11" s="58" customFormat="1" ht="60" x14ac:dyDescent="0.2">
      <c r="A42" s="16"/>
      <c r="B42" s="16"/>
      <c r="C42" s="16"/>
      <c r="D42" s="16"/>
      <c r="E42" s="17"/>
      <c r="F42" s="31" t="s">
        <v>107</v>
      </c>
      <c r="G42" s="34"/>
      <c r="H42" s="35"/>
      <c r="I42" s="35"/>
      <c r="J42" s="46">
        <f>3789452-800000-2917294</f>
        <v>72158</v>
      </c>
    </row>
    <row r="43" spans="1:11" s="58" customFormat="1" ht="60" x14ac:dyDescent="0.2">
      <c r="A43" s="16"/>
      <c r="B43" s="16"/>
      <c r="C43" s="16"/>
      <c r="D43" s="16"/>
      <c r="E43" s="17"/>
      <c r="F43" s="31" t="s">
        <v>108</v>
      </c>
      <c r="G43" s="34"/>
      <c r="H43" s="35"/>
      <c r="I43" s="35"/>
      <c r="J43" s="46">
        <f>6255256.44-388370</f>
        <v>5866886.4400000004</v>
      </c>
    </row>
    <row r="44" spans="1:11" s="58" customFormat="1" ht="45" x14ac:dyDescent="0.2">
      <c r="A44" s="16" t="s">
        <v>109</v>
      </c>
      <c r="B44" s="16" t="s">
        <v>110</v>
      </c>
      <c r="C44" s="16" t="s">
        <v>111</v>
      </c>
      <c r="D44" s="16" t="s">
        <v>41</v>
      </c>
      <c r="E44" s="17" t="s">
        <v>112</v>
      </c>
      <c r="F44" s="31" t="s">
        <v>23</v>
      </c>
      <c r="G44" s="34"/>
      <c r="H44" s="35"/>
      <c r="I44" s="35"/>
      <c r="J44" s="46">
        <f>26643800+4238370+800000</f>
        <v>31682170</v>
      </c>
    </row>
    <row r="45" spans="1:11" s="57" customFormat="1" ht="28.5" x14ac:dyDescent="0.2">
      <c r="A45" s="23" t="s">
        <v>113</v>
      </c>
      <c r="B45" s="23"/>
      <c r="C45" s="23" t="s">
        <v>114</v>
      </c>
      <c r="D45" s="23"/>
      <c r="E45" s="24" t="s">
        <v>115</v>
      </c>
      <c r="F45" s="25"/>
      <c r="G45" s="36"/>
      <c r="H45" s="37"/>
      <c r="I45" s="37"/>
      <c r="J45" s="45">
        <f>J46</f>
        <v>237856958</v>
      </c>
      <c r="K45" s="97"/>
    </row>
    <row r="46" spans="1:11" s="57" customFormat="1" ht="28.5" x14ac:dyDescent="0.2">
      <c r="A46" s="23" t="s">
        <v>116</v>
      </c>
      <c r="B46" s="23"/>
      <c r="C46" s="23" t="s">
        <v>114</v>
      </c>
      <c r="D46" s="23"/>
      <c r="E46" s="24" t="s">
        <v>115</v>
      </c>
      <c r="F46" s="25"/>
      <c r="G46" s="36"/>
      <c r="H46" s="37"/>
      <c r="I46" s="37"/>
      <c r="J46" s="45">
        <f>J49+J50+J51+J53+J54+J56+J59+J60+J61+J52+J55+J47+J48</f>
        <v>237856958</v>
      </c>
      <c r="K46" s="97">
        <f>J46-J59-J47-J48</f>
        <v>235302878</v>
      </c>
    </row>
    <row r="47" spans="1:11" s="57" customFormat="1" ht="30" x14ac:dyDescent="0.2">
      <c r="A47" s="16" t="s">
        <v>117</v>
      </c>
      <c r="B47" s="16" t="s">
        <v>118</v>
      </c>
      <c r="C47" s="23"/>
      <c r="D47" s="16" t="s">
        <v>73</v>
      </c>
      <c r="E47" s="17" t="s">
        <v>119</v>
      </c>
      <c r="F47" s="18" t="s">
        <v>23</v>
      </c>
      <c r="G47" s="36"/>
      <c r="H47" s="37"/>
      <c r="I47" s="37"/>
      <c r="J47" s="46">
        <f>1580980+715000</f>
        <v>2295980</v>
      </c>
      <c r="K47" s="97"/>
    </row>
    <row r="48" spans="1:11" s="57" customFormat="1" ht="35.25" customHeight="1" x14ac:dyDescent="0.2">
      <c r="A48" s="16" t="s">
        <v>120</v>
      </c>
      <c r="B48" s="16" t="s">
        <v>121</v>
      </c>
      <c r="C48" s="23"/>
      <c r="D48" s="16" t="s">
        <v>78</v>
      </c>
      <c r="E48" s="17" t="s">
        <v>122</v>
      </c>
      <c r="F48" s="18" t="s">
        <v>23</v>
      </c>
      <c r="G48" s="36"/>
      <c r="H48" s="37"/>
      <c r="I48" s="37"/>
      <c r="J48" s="46">
        <f>35300+70500</f>
        <v>105800</v>
      </c>
      <c r="K48" s="97"/>
    </row>
    <row r="49" spans="1:10" s="58" customFormat="1" ht="35.25" customHeight="1" x14ac:dyDescent="0.2">
      <c r="A49" s="98" t="s">
        <v>123</v>
      </c>
      <c r="B49" s="98">
        <v>2010</v>
      </c>
      <c r="C49" s="98" t="s">
        <v>124</v>
      </c>
      <c r="D49" s="98" t="s">
        <v>125</v>
      </c>
      <c r="E49" s="89" t="s">
        <v>126</v>
      </c>
      <c r="F49" s="99" t="s">
        <v>23</v>
      </c>
      <c r="G49" s="101"/>
      <c r="H49" s="102"/>
      <c r="I49" s="102"/>
      <c r="J49" s="103">
        <f>23333000-21095000+150000-100000+240000-237834</f>
        <v>2290166</v>
      </c>
    </row>
    <row r="50" spans="1:10" s="58" customFormat="1" ht="17.25" customHeight="1" x14ac:dyDescent="0.2">
      <c r="A50" s="16" t="s">
        <v>127</v>
      </c>
      <c r="B50" s="16">
        <v>2030</v>
      </c>
      <c r="C50" s="16" t="s">
        <v>128</v>
      </c>
      <c r="D50" s="16" t="s">
        <v>129</v>
      </c>
      <c r="E50" s="17" t="s">
        <v>130</v>
      </c>
      <c r="F50" s="18" t="s">
        <v>23</v>
      </c>
      <c r="G50" s="34"/>
      <c r="H50" s="35"/>
      <c r="I50" s="35"/>
      <c r="J50" s="46">
        <f>261480+9705278+928100+40000+669093+94757+170163+4643502+381650+243908+3267517+250000</f>
        <v>20655448</v>
      </c>
    </row>
    <row r="51" spans="1:10" s="58" customFormat="1" ht="30" x14ac:dyDescent="0.2">
      <c r="A51" s="16" t="s">
        <v>131</v>
      </c>
      <c r="B51" s="16">
        <v>2050</v>
      </c>
      <c r="C51" s="16" t="s">
        <v>132</v>
      </c>
      <c r="D51" s="16" t="s">
        <v>133</v>
      </c>
      <c r="E51" s="17" t="s">
        <v>134</v>
      </c>
      <c r="F51" s="18" t="s">
        <v>23</v>
      </c>
      <c r="G51" s="34"/>
      <c r="H51" s="35"/>
      <c r="I51" s="35"/>
      <c r="J51" s="46">
        <f>800000+185054+180160</f>
        <v>1165214</v>
      </c>
    </row>
    <row r="52" spans="1:10" s="58" customFormat="1" ht="15" x14ac:dyDescent="0.2">
      <c r="A52" s="16" t="s">
        <v>135</v>
      </c>
      <c r="B52" s="16">
        <v>2060</v>
      </c>
      <c r="C52" s="16" t="s">
        <v>136</v>
      </c>
      <c r="D52" s="16" t="s">
        <v>137</v>
      </c>
      <c r="E52" s="17" t="s">
        <v>138</v>
      </c>
      <c r="F52" s="18" t="s">
        <v>23</v>
      </c>
      <c r="G52" s="34"/>
      <c r="H52" s="35"/>
      <c r="I52" s="35"/>
      <c r="J52" s="46">
        <f>3265312+727700+285696+238056+299777-210884</f>
        <v>4605657</v>
      </c>
    </row>
    <row r="53" spans="1:10" s="58" customFormat="1" ht="30" x14ac:dyDescent="0.2">
      <c r="A53" s="16" t="s">
        <v>139</v>
      </c>
      <c r="B53" s="16">
        <v>2070</v>
      </c>
      <c r="C53" s="16" t="s">
        <v>140</v>
      </c>
      <c r="D53" s="16" t="s">
        <v>137</v>
      </c>
      <c r="E53" s="17" t="s">
        <v>141</v>
      </c>
      <c r="F53" s="18" t="s">
        <v>23</v>
      </c>
      <c r="G53" s="34"/>
      <c r="H53" s="35"/>
      <c r="I53" s="35"/>
      <c r="J53" s="46">
        <f>2278990+74000+261349-372204-136117</f>
        <v>2106018</v>
      </c>
    </row>
    <row r="54" spans="1:10" s="58" customFormat="1" ht="15" x14ac:dyDescent="0.2">
      <c r="A54" s="16" t="s">
        <v>142</v>
      </c>
      <c r="B54" s="16">
        <v>2100</v>
      </c>
      <c r="C54" s="16" t="s">
        <v>143</v>
      </c>
      <c r="D54" s="16" t="s">
        <v>144</v>
      </c>
      <c r="E54" s="17" t="s">
        <v>145</v>
      </c>
      <c r="F54" s="18" t="s">
        <v>23</v>
      </c>
      <c r="G54" s="34"/>
      <c r="H54" s="35"/>
      <c r="I54" s="35"/>
      <c r="J54" s="46">
        <f>732559+1000000+157834+64000-34480</f>
        <v>1919913</v>
      </c>
    </row>
    <row r="55" spans="1:10" s="58" customFormat="1" ht="30" x14ac:dyDescent="0.2">
      <c r="A55" s="16" t="s">
        <v>146</v>
      </c>
      <c r="B55" s="16">
        <v>2110</v>
      </c>
      <c r="C55" s="16" t="s">
        <v>147</v>
      </c>
      <c r="D55" s="16" t="s">
        <v>148</v>
      </c>
      <c r="E55" s="17" t="s">
        <v>149</v>
      </c>
      <c r="F55" s="18" t="s">
        <v>23</v>
      </c>
      <c r="G55" s="34"/>
      <c r="H55" s="35"/>
      <c r="I55" s="34"/>
      <c r="J55" s="46">
        <f>1607509+52000+7153000</f>
        <v>8812509</v>
      </c>
    </row>
    <row r="56" spans="1:10" s="58" customFormat="1" ht="15" x14ac:dyDescent="0.2">
      <c r="A56" s="16" t="s">
        <v>150</v>
      </c>
      <c r="B56" s="16" t="s">
        <v>151</v>
      </c>
      <c r="C56" s="16" t="s">
        <v>152</v>
      </c>
      <c r="D56" s="16" t="s">
        <v>153</v>
      </c>
      <c r="E56" s="17" t="s">
        <v>154</v>
      </c>
      <c r="F56" s="18" t="s">
        <v>23</v>
      </c>
      <c r="G56" s="34"/>
      <c r="H56" s="35"/>
      <c r="I56" s="34"/>
      <c r="J56" s="46">
        <f>80526600-261480-27180444+46025831+38414300-3926704+23000000+10552400-6970755+17000000+2460000+4467500+6416914</f>
        <v>190524162</v>
      </c>
    </row>
    <row r="57" spans="1:10" s="60" customFormat="1" ht="15" x14ac:dyDescent="0.2">
      <c r="A57" s="20"/>
      <c r="B57" s="20"/>
      <c r="C57" s="20"/>
      <c r="D57" s="20"/>
      <c r="E57" s="21" t="s">
        <v>43</v>
      </c>
      <c r="F57" s="22"/>
      <c r="G57" s="38"/>
      <c r="H57" s="39"/>
      <c r="I57" s="38"/>
      <c r="J57" s="47"/>
    </row>
    <row r="58" spans="1:10" s="60" customFormat="1" ht="15" x14ac:dyDescent="0.2">
      <c r="A58" s="20"/>
      <c r="B58" s="20"/>
      <c r="C58" s="20"/>
      <c r="D58" s="20"/>
      <c r="E58" s="21" t="s">
        <v>55</v>
      </c>
      <c r="F58" s="22"/>
      <c r="G58" s="38"/>
      <c r="H58" s="39"/>
      <c r="I58" s="38"/>
      <c r="J58" s="47">
        <f>12526600+38414300+10552400+4467500</f>
        <v>65960800</v>
      </c>
    </row>
    <row r="59" spans="1:10" s="58" customFormat="1" ht="15" x14ac:dyDescent="0.2">
      <c r="A59" s="16" t="s">
        <v>155</v>
      </c>
      <c r="B59" s="16">
        <v>4060</v>
      </c>
      <c r="C59" s="16">
        <v>110201</v>
      </c>
      <c r="D59" s="16" t="s">
        <v>156</v>
      </c>
      <c r="E59" s="17" t="s">
        <v>157</v>
      </c>
      <c r="F59" s="18" t="s">
        <v>23</v>
      </c>
      <c r="G59" s="34"/>
      <c r="H59" s="35"/>
      <c r="I59" s="34"/>
      <c r="J59" s="46">
        <f>97300+55000</f>
        <v>152300</v>
      </c>
    </row>
    <row r="60" spans="1:10" s="58" customFormat="1" ht="15" x14ac:dyDescent="0.2">
      <c r="A60" s="16" t="s">
        <v>158</v>
      </c>
      <c r="B60" s="16" t="s">
        <v>103</v>
      </c>
      <c r="C60" s="16" t="s">
        <v>104</v>
      </c>
      <c r="D60" s="16" t="s">
        <v>31</v>
      </c>
      <c r="E60" s="17" t="s">
        <v>105</v>
      </c>
      <c r="F60" s="18"/>
      <c r="G60" s="34"/>
      <c r="H60" s="35"/>
      <c r="I60" s="34"/>
      <c r="J60" s="46">
        <f>J62+J63+J64+J65+J66+J67+J68+J69+J70+J71+J72+J73+J74+J75+J76+J77+J78+J79+J80</f>
        <v>3223791</v>
      </c>
    </row>
    <row r="61" spans="1:10" s="58" customFormat="1" ht="15" x14ac:dyDescent="0.2">
      <c r="A61" s="16"/>
      <c r="B61" s="16"/>
      <c r="C61" s="16"/>
      <c r="D61" s="16"/>
      <c r="E61" s="17" t="s">
        <v>43</v>
      </c>
      <c r="F61" s="18"/>
      <c r="G61" s="34"/>
      <c r="H61" s="35"/>
      <c r="I61" s="34"/>
      <c r="J61" s="46"/>
    </row>
    <row r="62" spans="1:10" s="58" customFormat="1" ht="51.75" customHeight="1" x14ac:dyDescent="0.2">
      <c r="A62" s="16"/>
      <c r="B62" s="16"/>
      <c r="C62" s="16"/>
      <c r="D62" s="16"/>
      <c r="E62" s="17"/>
      <c r="F62" s="68" t="s">
        <v>159</v>
      </c>
      <c r="G62" s="34">
        <v>500000</v>
      </c>
      <c r="H62" s="35">
        <v>93</v>
      </c>
      <c r="I62" s="34">
        <v>465000</v>
      </c>
      <c r="J62" s="46">
        <f>35000-128</f>
        <v>34872</v>
      </c>
    </row>
    <row r="63" spans="1:10" s="58" customFormat="1" ht="31.5" customHeight="1" x14ac:dyDescent="0.2">
      <c r="A63" s="16"/>
      <c r="B63" s="16"/>
      <c r="C63" s="16"/>
      <c r="D63" s="16"/>
      <c r="E63" s="17"/>
      <c r="F63" s="18" t="s">
        <v>160</v>
      </c>
      <c r="G63" s="34">
        <v>309839</v>
      </c>
      <c r="H63" s="35"/>
      <c r="I63" s="34"/>
      <c r="J63" s="46">
        <f>199936+109903-6411</f>
        <v>303428</v>
      </c>
    </row>
    <row r="64" spans="1:10" s="58" customFormat="1" ht="60" x14ac:dyDescent="0.2">
      <c r="A64" s="16"/>
      <c r="B64" s="16"/>
      <c r="C64" s="16"/>
      <c r="D64" s="16"/>
      <c r="E64" s="17"/>
      <c r="F64" s="31" t="s">
        <v>161</v>
      </c>
      <c r="G64" s="34">
        <v>1010548</v>
      </c>
      <c r="H64" s="35"/>
      <c r="I64" s="34"/>
      <c r="J64" s="46">
        <v>892988</v>
      </c>
    </row>
    <row r="65" spans="1:10" s="58" customFormat="1" ht="50.25" customHeight="1" x14ac:dyDescent="0.2">
      <c r="A65" s="16"/>
      <c r="B65" s="16"/>
      <c r="C65" s="16"/>
      <c r="D65" s="16"/>
      <c r="E65" s="17"/>
      <c r="F65" s="68" t="s">
        <v>162</v>
      </c>
      <c r="G65" s="34">
        <v>3661423</v>
      </c>
      <c r="H65" s="35"/>
      <c r="I65" s="34"/>
      <c r="J65" s="46">
        <f>3553123-331376-3218790</f>
        <v>2957</v>
      </c>
    </row>
    <row r="66" spans="1:10" s="58" customFormat="1" ht="45" x14ac:dyDescent="0.2">
      <c r="A66" s="16"/>
      <c r="B66" s="16"/>
      <c r="C66" s="16"/>
      <c r="D66" s="16"/>
      <c r="E66" s="17"/>
      <c r="F66" s="17" t="s">
        <v>163</v>
      </c>
      <c r="G66" s="34">
        <v>2400000</v>
      </c>
      <c r="H66" s="35">
        <v>97.9</v>
      </c>
      <c r="I66" s="34">
        <v>2200000</v>
      </c>
      <c r="J66" s="46">
        <f>200000-153385</f>
        <v>46615</v>
      </c>
    </row>
    <row r="67" spans="1:10" s="58" customFormat="1" ht="30" x14ac:dyDescent="0.2">
      <c r="A67" s="16"/>
      <c r="B67" s="16"/>
      <c r="C67" s="16"/>
      <c r="D67" s="16"/>
      <c r="E67" s="17"/>
      <c r="F67" s="134" t="s">
        <v>164</v>
      </c>
      <c r="G67" s="34">
        <v>200000</v>
      </c>
      <c r="H67" s="35"/>
      <c r="I67" s="34"/>
      <c r="J67" s="46">
        <f>200000-91578</f>
        <v>108422</v>
      </c>
    </row>
    <row r="68" spans="1:10" s="58" customFormat="1" ht="30" x14ac:dyDescent="0.2">
      <c r="A68" s="16"/>
      <c r="B68" s="16"/>
      <c r="C68" s="16"/>
      <c r="D68" s="16"/>
      <c r="E68" s="17"/>
      <c r="F68" s="17" t="s">
        <v>165</v>
      </c>
      <c r="G68" s="34">
        <v>100000</v>
      </c>
      <c r="H68" s="35"/>
      <c r="I68" s="34"/>
      <c r="J68" s="46">
        <f>100000-34183-8446</f>
        <v>57371</v>
      </c>
    </row>
    <row r="69" spans="1:10" s="60" customFormat="1" ht="45" x14ac:dyDescent="0.2">
      <c r="A69" s="20"/>
      <c r="B69" s="20"/>
      <c r="C69" s="20"/>
      <c r="D69" s="20"/>
      <c r="E69" s="17"/>
      <c r="F69" s="18" t="s">
        <v>166</v>
      </c>
      <c r="G69" s="34">
        <v>37850000</v>
      </c>
      <c r="H69" s="35">
        <v>98</v>
      </c>
      <c r="I69" s="34">
        <v>37087017</v>
      </c>
      <c r="J69" s="46">
        <v>762983</v>
      </c>
    </row>
    <row r="70" spans="1:10" s="60" customFormat="1" ht="30" x14ac:dyDescent="0.2">
      <c r="A70" s="20"/>
      <c r="B70" s="20"/>
      <c r="C70" s="20"/>
      <c r="D70" s="20"/>
      <c r="E70" s="17"/>
      <c r="F70" s="18" t="s">
        <v>167</v>
      </c>
      <c r="G70" s="34"/>
      <c r="H70" s="35">
        <v>100</v>
      </c>
      <c r="I70" s="34"/>
      <c r="J70" s="46">
        <v>50000</v>
      </c>
    </row>
    <row r="71" spans="1:10" s="60" customFormat="1" ht="45" x14ac:dyDescent="0.2">
      <c r="A71" s="20"/>
      <c r="B71" s="20"/>
      <c r="C71" s="20"/>
      <c r="D71" s="20"/>
      <c r="E71" s="17"/>
      <c r="F71" s="32" t="s">
        <v>168</v>
      </c>
      <c r="G71" s="34"/>
      <c r="H71" s="35">
        <v>100</v>
      </c>
      <c r="I71" s="34"/>
      <c r="J71" s="46">
        <f>100000-64000</f>
        <v>36000</v>
      </c>
    </row>
    <row r="72" spans="1:10" s="60" customFormat="1" ht="45" x14ac:dyDescent="0.2">
      <c r="A72" s="20"/>
      <c r="B72" s="20"/>
      <c r="C72" s="20"/>
      <c r="D72" s="20"/>
      <c r="E72" s="17"/>
      <c r="F72" s="32" t="s">
        <v>169</v>
      </c>
      <c r="G72" s="34">
        <v>215808</v>
      </c>
      <c r="H72" s="35">
        <v>0</v>
      </c>
      <c r="I72" s="34">
        <v>0</v>
      </c>
      <c r="J72" s="46">
        <f>203766-12548</f>
        <v>191218</v>
      </c>
    </row>
    <row r="73" spans="1:10" s="60" customFormat="1" ht="75" x14ac:dyDescent="0.2">
      <c r="A73" s="20"/>
      <c r="B73" s="20"/>
      <c r="C73" s="20"/>
      <c r="D73" s="20"/>
      <c r="E73" s="17"/>
      <c r="F73" s="63" t="s">
        <v>170</v>
      </c>
      <c r="G73" s="34"/>
      <c r="H73" s="35">
        <v>100</v>
      </c>
      <c r="I73" s="34"/>
      <c r="J73" s="46">
        <v>70000</v>
      </c>
    </row>
    <row r="74" spans="1:10" s="60" customFormat="1" ht="19.5" customHeight="1" x14ac:dyDescent="0.2">
      <c r="A74" s="20"/>
      <c r="B74" s="20"/>
      <c r="C74" s="20"/>
      <c r="D74" s="20"/>
      <c r="E74" s="17"/>
      <c r="F74" s="32" t="s">
        <v>171</v>
      </c>
      <c r="G74" s="34">
        <v>168900</v>
      </c>
      <c r="H74" s="35"/>
      <c r="I74" s="34"/>
      <c r="J74" s="46">
        <f>150000-148552.11</f>
        <v>1447.890000000014</v>
      </c>
    </row>
    <row r="75" spans="1:10" s="60" customFormat="1" ht="60" x14ac:dyDescent="0.2">
      <c r="A75" s="20"/>
      <c r="B75" s="20"/>
      <c r="C75" s="20"/>
      <c r="D75" s="20"/>
      <c r="E75" s="17"/>
      <c r="F75" s="63" t="s">
        <v>172</v>
      </c>
      <c r="G75" s="34"/>
      <c r="H75" s="35">
        <v>100</v>
      </c>
      <c r="I75" s="34"/>
      <c r="J75" s="75">
        <v>100000</v>
      </c>
    </row>
    <row r="76" spans="1:10" s="60" customFormat="1" ht="60" x14ac:dyDescent="0.2">
      <c r="A76" s="20"/>
      <c r="B76" s="20"/>
      <c r="C76" s="20"/>
      <c r="D76" s="20"/>
      <c r="E76" s="17"/>
      <c r="F76" s="63" t="s">
        <v>173</v>
      </c>
      <c r="G76" s="34"/>
      <c r="H76" s="35"/>
      <c r="I76" s="135"/>
      <c r="J76" s="132">
        <v>148552.10999999999</v>
      </c>
    </row>
    <row r="77" spans="1:10" s="60" customFormat="1" ht="45" x14ac:dyDescent="0.2">
      <c r="A77" s="20"/>
      <c r="B77" s="20"/>
      <c r="C77" s="20"/>
      <c r="D77" s="20"/>
      <c r="E77" s="17"/>
      <c r="F77" s="63" t="s">
        <v>174</v>
      </c>
      <c r="G77" s="34"/>
      <c r="H77" s="35">
        <v>100</v>
      </c>
      <c r="I77" s="34"/>
      <c r="J77" s="133">
        <v>20385</v>
      </c>
    </row>
    <row r="78" spans="1:10" s="60" customFormat="1" ht="45" x14ac:dyDescent="0.2">
      <c r="A78" s="20"/>
      <c r="B78" s="20"/>
      <c r="C78" s="20"/>
      <c r="D78" s="20"/>
      <c r="E78" s="17"/>
      <c r="F78" s="63" t="s">
        <v>175</v>
      </c>
      <c r="G78" s="34"/>
      <c r="H78" s="35">
        <v>100</v>
      </c>
      <c r="I78" s="34"/>
      <c r="J78" s="132">
        <v>20000</v>
      </c>
    </row>
    <row r="79" spans="1:10" s="60" customFormat="1" ht="63" customHeight="1" x14ac:dyDescent="0.2">
      <c r="A79" s="104"/>
      <c r="B79" s="104"/>
      <c r="C79" s="104"/>
      <c r="D79" s="104"/>
      <c r="E79" s="89"/>
      <c r="F79" s="63" t="s">
        <v>176</v>
      </c>
      <c r="G79" s="101">
        <v>100000</v>
      </c>
      <c r="H79" s="102">
        <v>0</v>
      </c>
      <c r="I79" s="101"/>
      <c r="J79" s="133">
        <v>50590</v>
      </c>
    </row>
    <row r="80" spans="1:10" s="60" customFormat="1" ht="65.25" customHeight="1" x14ac:dyDescent="0.2">
      <c r="A80" s="104"/>
      <c r="B80" s="104"/>
      <c r="C80" s="104"/>
      <c r="D80" s="104"/>
      <c r="E80" s="89"/>
      <c r="F80" s="63" t="s">
        <v>177</v>
      </c>
      <c r="G80" s="101"/>
      <c r="H80" s="102">
        <v>20</v>
      </c>
      <c r="I80" s="101"/>
      <c r="J80" s="132">
        <f>272962+53000</f>
        <v>325962</v>
      </c>
    </row>
    <row r="81" spans="1:10" s="57" customFormat="1" ht="28.5" x14ac:dyDescent="0.2">
      <c r="A81" s="126" t="s">
        <v>178</v>
      </c>
      <c r="B81" s="126"/>
      <c r="C81" s="126" t="s">
        <v>179</v>
      </c>
      <c r="D81" s="126"/>
      <c r="E81" s="128" t="s">
        <v>180</v>
      </c>
      <c r="F81" s="129"/>
      <c r="G81" s="100"/>
      <c r="H81" s="95"/>
      <c r="I81" s="100"/>
      <c r="J81" s="130">
        <f>J82</f>
        <v>15183292</v>
      </c>
    </row>
    <row r="82" spans="1:10" s="57" customFormat="1" ht="28.5" x14ac:dyDescent="0.2">
      <c r="A82" s="23" t="s">
        <v>181</v>
      </c>
      <c r="B82" s="23"/>
      <c r="C82" s="23" t="s">
        <v>179</v>
      </c>
      <c r="D82" s="23"/>
      <c r="E82" s="24" t="s">
        <v>180</v>
      </c>
      <c r="F82" s="25"/>
      <c r="G82" s="36"/>
      <c r="H82" s="37"/>
      <c r="I82" s="36"/>
      <c r="J82" s="45">
        <f>J91+J84+J88+J83+J90</f>
        <v>15183292</v>
      </c>
    </row>
    <row r="83" spans="1:10" s="58" customFormat="1" ht="30" x14ac:dyDescent="0.2">
      <c r="A83" s="16" t="s">
        <v>182</v>
      </c>
      <c r="B83" s="16" t="s">
        <v>183</v>
      </c>
      <c r="C83" s="16"/>
      <c r="D83" s="16" t="s">
        <v>64</v>
      </c>
      <c r="E83" s="17" t="s">
        <v>184</v>
      </c>
      <c r="F83" s="18" t="s">
        <v>23</v>
      </c>
      <c r="G83" s="34"/>
      <c r="H83" s="35"/>
      <c r="I83" s="34"/>
      <c r="J83" s="46">
        <f>90000-4753</f>
        <v>85247</v>
      </c>
    </row>
    <row r="84" spans="1:10" s="58" customFormat="1" ht="45" x14ac:dyDescent="0.2">
      <c r="A84" s="16" t="s">
        <v>185</v>
      </c>
      <c r="B84" s="16" t="s">
        <v>186</v>
      </c>
      <c r="C84" s="16"/>
      <c r="D84" s="16"/>
      <c r="E84" s="17" t="s">
        <v>187</v>
      </c>
      <c r="F84" s="18"/>
      <c r="G84" s="34"/>
      <c r="H84" s="35"/>
      <c r="I84" s="34"/>
      <c r="J84" s="46">
        <f>J85+J86+J87</f>
        <v>14176913</v>
      </c>
    </row>
    <row r="85" spans="1:10" s="58" customFormat="1" ht="45" x14ac:dyDescent="0.2">
      <c r="A85" s="16" t="s">
        <v>188</v>
      </c>
      <c r="B85" s="16" t="s">
        <v>189</v>
      </c>
      <c r="C85" s="16"/>
      <c r="D85" s="16" t="s">
        <v>190</v>
      </c>
      <c r="E85" s="17" t="s">
        <v>191</v>
      </c>
      <c r="F85" s="18" t="s">
        <v>23</v>
      </c>
      <c r="G85" s="34"/>
      <c r="H85" s="35"/>
      <c r="I85" s="34"/>
      <c r="J85" s="46">
        <f>357500+3196000+8500+42700-11628+168200+20000-637627</f>
        <v>3143645</v>
      </c>
    </row>
    <row r="86" spans="1:10" s="58" customFormat="1" ht="89.25" customHeight="1" x14ac:dyDescent="0.2">
      <c r="A86" s="16" t="s">
        <v>192</v>
      </c>
      <c r="B86" s="16" t="s">
        <v>193</v>
      </c>
      <c r="C86" s="16"/>
      <c r="D86" s="16" t="s">
        <v>194</v>
      </c>
      <c r="E86" s="17" t="s">
        <v>195</v>
      </c>
      <c r="F86" s="18" t="s">
        <v>23</v>
      </c>
      <c r="G86" s="34"/>
      <c r="H86" s="35"/>
      <c r="I86" s="34"/>
      <c r="J86" s="46">
        <f>10845100-4796000+2700000+131000+39000+230371+130000</f>
        <v>9279471</v>
      </c>
    </row>
    <row r="87" spans="1:10" s="58" customFormat="1" ht="63" customHeight="1" x14ac:dyDescent="0.2">
      <c r="A87" s="16" t="s">
        <v>196</v>
      </c>
      <c r="B87" s="16" t="s">
        <v>197</v>
      </c>
      <c r="C87" s="16"/>
      <c r="D87" s="16" t="s">
        <v>190</v>
      </c>
      <c r="E87" s="17" t="s">
        <v>198</v>
      </c>
      <c r="F87" s="18" t="s">
        <v>23</v>
      </c>
      <c r="G87" s="34"/>
      <c r="H87" s="35"/>
      <c r="I87" s="34"/>
      <c r="J87" s="46">
        <f>1600000+76112+60000+17685</f>
        <v>1753797</v>
      </c>
    </row>
    <row r="88" spans="1:10" s="58" customFormat="1" ht="15" x14ac:dyDescent="0.2">
      <c r="A88" s="16" t="s">
        <v>199</v>
      </c>
      <c r="B88" s="16" t="s">
        <v>200</v>
      </c>
      <c r="C88" s="16"/>
      <c r="D88" s="16"/>
      <c r="E88" s="17" t="s">
        <v>201</v>
      </c>
      <c r="F88" s="18"/>
      <c r="G88" s="34"/>
      <c r="H88" s="35"/>
      <c r="I88" s="34"/>
      <c r="J88" s="46">
        <f>J89</f>
        <v>54977</v>
      </c>
    </row>
    <row r="89" spans="1:10" s="58" customFormat="1" ht="30" x14ac:dyDescent="0.2">
      <c r="A89" s="16" t="s">
        <v>202</v>
      </c>
      <c r="B89" s="16" t="s">
        <v>203</v>
      </c>
      <c r="C89" s="16"/>
      <c r="D89" s="16" t="s">
        <v>51</v>
      </c>
      <c r="E89" s="17" t="s">
        <v>204</v>
      </c>
      <c r="F89" s="18" t="s">
        <v>23</v>
      </c>
      <c r="G89" s="34"/>
      <c r="H89" s="35"/>
      <c r="I89" s="34"/>
      <c r="J89" s="46">
        <f>57000-2023</f>
        <v>54977</v>
      </c>
    </row>
    <row r="90" spans="1:10" s="58" customFormat="1" ht="15" x14ac:dyDescent="0.2">
      <c r="A90" s="16" t="s">
        <v>205</v>
      </c>
      <c r="B90" s="16" t="s">
        <v>206</v>
      </c>
      <c r="C90" s="16"/>
      <c r="D90" s="16" t="s">
        <v>64</v>
      </c>
      <c r="E90" s="17" t="s">
        <v>207</v>
      </c>
      <c r="F90" s="18"/>
      <c r="G90" s="34"/>
      <c r="H90" s="35"/>
      <c r="I90" s="34"/>
      <c r="J90" s="46">
        <v>45000</v>
      </c>
    </row>
    <row r="91" spans="1:10" s="58" customFormat="1" ht="18" customHeight="1" x14ac:dyDescent="0.2">
      <c r="A91" s="16" t="s">
        <v>208</v>
      </c>
      <c r="B91" s="16" t="s">
        <v>103</v>
      </c>
      <c r="C91" s="16" t="s">
        <v>104</v>
      </c>
      <c r="D91" s="16" t="s">
        <v>31</v>
      </c>
      <c r="E91" s="17" t="s">
        <v>105</v>
      </c>
      <c r="F91" s="18"/>
      <c r="G91" s="34"/>
      <c r="H91" s="35"/>
      <c r="I91" s="34"/>
      <c r="J91" s="46">
        <f>J93+J94+J95+J96+J97+J98+J99+J100+J101</f>
        <v>821155</v>
      </c>
    </row>
    <row r="92" spans="1:10" s="58" customFormat="1" ht="15" x14ac:dyDescent="0.2">
      <c r="A92" s="16"/>
      <c r="B92" s="16"/>
      <c r="C92" s="16"/>
      <c r="D92" s="16"/>
      <c r="E92" s="17" t="s">
        <v>43</v>
      </c>
      <c r="F92" s="18"/>
      <c r="G92" s="34"/>
      <c r="H92" s="35"/>
      <c r="I92" s="34"/>
      <c r="J92" s="46"/>
    </row>
    <row r="93" spans="1:10" s="58" customFormat="1" ht="30" x14ac:dyDescent="0.2">
      <c r="A93" s="16"/>
      <c r="B93" s="16"/>
      <c r="C93" s="16"/>
      <c r="D93" s="16"/>
      <c r="E93" s="17"/>
      <c r="F93" s="18" t="s">
        <v>209</v>
      </c>
      <c r="G93" s="34"/>
      <c r="H93" s="35"/>
      <c r="I93" s="34"/>
      <c r="J93" s="46">
        <f>15400-244</f>
        <v>15156</v>
      </c>
    </row>
    <row r="94" spans="1:10" s="58" customFormat="1" ht="45" x14ac:dyDescent="0.2">
      <c r="A94" s="16"/>
      <c r="B94" s="16"/>
      <c r="C94" s="16"/>
      <c r="D94" s="16"/>
      <c r="E94" s="17"/>
      <c r="F94" s="18" t="s">
        <v>210</v>
      </c>
      <c r="G94" s="34"/>
      <c r="H94" s="35"/>
      <c r="I94" s="34"/>
      <c r="J94" s="46">
        <f>39000-8678</f>
        <v>30322</v>
      </c>
    </row>
    <row r="95" spans="1:10" s="58" customFormat="1" ht="45" x14ac:dyDescent="0.2">
      <c r="A95" s="16"/>
      <c r="B95" s="16"/>
      <c r="C95" s="16"/>
      <c r="D95" s="16"/>
      <c r="E95" s="17"/>
      <c r="F95" s="18" t="s">
        <v>211</v>
      </c>
      <c r="G95" s="34"/>
      <c r="H95" s="35"/>
      <c r="I95" s="34"/>
      <c r="J95" s="46">
        <f>21000+4844</f>
        <v>25844</v>
      </c>
    </row>
    <row r="96" spans="1:10" s="58" customFormat="1" ht="60" x14ac:dyDescent="0.2">
      <c r="A96" s="16"/>
      <c r="B96" s="16"/>
      <c r="C96" s="16"/>
      <c r="D96" s="16"/>
      <c r="E96" s="17"/>
      <c r="F96" s="18" t="s">
        <v>212</v>
      </c>
      <c r="G96" s="34"/>
      <c r="H96" s="35"/>
      <c r="I96" s="34"/>
      <c r="J96" s="46">
        <f>48200-6436</f>
        <v>41764</v>
      </c>
    </row>
    <row r="97" spans="1:12" s="58" customFormat="1" ht="45" x14ac:dyDescent="0.2">
      <c r="A97" s="16"/>
      <c r="B97" s="16"/>
      <c r="C97" s="16"/>
      <c r="D97" s="16"/>
      <c r="E97" s="17"/>
      <c r="F97" s="18" t="s">
        <v>213</v>
      </c>
      <c r="G97" s="34"/>
      <c r="H97" s="35"/>
      <c r="I97" s="34"/>
      <c r="J97" s="46">
        <f>26800-2800</f>
        <v>24000</v>
      </c>
    </row>
    <row r="98" spans="1:12" s="58" customFormat="1" ht="46.5" customHeight="1" x14ac:dyDescent="0.2">
      <c r="A98" s="16"/>
      <c r="B98" s="16"/>
      <c r="C98" s="16"/>
      <c r="D98" s="16"/>
      <c r="E98" s="17"/>
      <c r="F98" s="18" t="s">
        <v>214</v>
      </c>
      <c r="G98" s="34"/>
      <c r="H98" s="35"/>
      <c r="I98" s="34"/>
      <c r="J98" s="46">
        <f>196911-32500-32930</f>
        <v>131481</v>
      </c>
    </row>
    <row r="99" spans="1:12" s="58" customFormat="1" ht="46.5" customHeight="1" x14ac:dyDescent="0.2">
      <c r="A99" s="16"/>
      <c r="B99" s="16"/>
      <c r="C99" s="16"/>
      <c r="D99" s="16"/>
      <c r="E99" s="17"/>
      <c r="F99" s="18" t="s">
        <v>215</v>
      </c>
      <c r="G99" s="34"/>
      <c r="H99" s="35"/>
      <c r="I99" s="34"/>
      <c r="J99" s="46">
        <f>227000-40412</f>
        <v>186588</v>
      </c>
    </row>
    <row r="100" spans="1:12" s="58" customFormat="1" ht="46.5" customHeight="1" x14ac:dyDescent="0.2">
      <c r="A100" s="16"/>
      <c r="B100" s="16"/>
      <c r="C100" s="16"/>
      <c r="D100" s="16"/>
      <c r="E100" s="17"/>
      <c r="F100" s="18" t="s">
        <v>216</v>
      </c>
      <c r="G100" s="34"/>
      <c r="H100" s="35"/>
      <c r="I100" s="34"/>
      <c r="J100" s="46">
        <v>320000</v>
      </c>
    </row>
    <row r="101" spans="1:12" s="58" customFormat="1" ht="46.5" customHeight="1" x14ac:dyDescent="0.2">
      <c r="A101" s="16"/>
      <c r="B101" s="16"/>
      <c r="C101" s="16"/>
      <c r="D101" s="16"/>
      <c r="E101" s="17"/>
      <c r="F101" s="18" t="s">
        <v>217</v>
      </c>
      <c r="G101" s="34"/>
      <c r="H101" s="35"/>
      <c r="I101" s="34"/>
      <c r="J101" s="46">
        <v>46000</v>
      </c>
    </row>
    <row r="102" spans="1:12" s="57" customFormat="1" ht="28.5" x14ac:dyDescent="0.2">
      <c r="A102" s="23" t="s">
        <v>218</v>
      </c>
      <c r="B102" s="23"/>
      <c r="C102" s="23" t="s">
        <v>219</v>
      </c>
      <c r="D102" s="23"/>
      <c r="E102" s="24" t="s">
        <v>220</v>
      </c>
      <c r="F102" s="25"/>
      <c r="G102" s="36"/>
      <c r="H102" s="37"/>
      <c r="I102" s="36"/>
      <c r="J102" s="45">
        <f>J103</f>
        <v>4240122</v>
      </c>
    </row>
    <row r="103" spans="1:12" s="57" customFormat="1" ht="28.5" x14ac:dyDescent="0.2">
      <c r="A103" s="23" t="s">
        <v>221</v>
      </c>
      <c r="B103" s="23"/>
      <c r="C103" s="23" t="s">
        <v>219</v>
      </c>
      <c r="D103" s="23"/>
      <c r="E103" s="24" t="s">
        <v>220</v>
      </c>
      <c r="F103" s="25"/>
      <c r="G103" s="36"/>
      <c r="H103" s="37"/>
      <c r="I103" s="36"/>
      <c r="J103" s="45">
        <f>J104+J109</f>
        <v>4240122</v>
      </c>
    </row>
    <row r="104" spans="1:12" s="58" customFormat="1" ht="15" x14ac:dyDescent="0.2">
      <c r="A104" s="16" t="s">
        <v>222</v>
      </c>
      <c r="B104" s="16" t="s">
        <v>223</v>
      </c>
      <c r="C104" s="16"/>
      <c r="D104" s="16"/>
      <c r="E104" s="17" t="s">
        <v>224</v>
      </c>
      <c r="F104" s="18"/>
      <c r="G104" s="34"/>
      <c r="H104" s="35"/>
      <c r="I104" s="34"/>
      <c r="J104" s="46">
        <f>J106+J105</f>
        <v>3491858</v>
      </c>
    </row>
    <row r="105" spans="1:12" s="58" customFormat="1" ht="30" x14ac:dyDescent="0.2">
      <c r="A105" s="16" t="s">
        <v>225</v>
      </c>
      <c r="B105" s="16" t="s">
        <v>226</v>
      </c>
      <c r="C105" s="16"/>
      <c r="D105" s="16"/>
      <c r="E105" s="17" t="s">
        <v>227</v>
      </c>
      <c r="F105" s="18" t="s">
        <v>23</v>
      </c>
      <c r="G105" s="34"/>
      <c r="H105" s="35"/>
      <c r="I105" s="34"/>
      <c r="J105" s="46">
        <f>71500-7767</f>
        <v>63733</v>
      </c>
    </row>
    <row r="106" spans="1:12" s="58" customFormat="1" ht="30" x14ac:dyDescent="0.2">
      <c r="A106" s="16" t="s">
        <v>228</v>
      </c>
      <c r="B106" s="16" t="s">
        <v>229</v>
      </c>
      <c r="C106" s="16">
        <v>130114</v>
      </c>
      <c r="D106" s="16" t="s">
        <v>230</v>
      </c>
      <c r="E106" s="17" t="s">
        <v>231</v>
      </c>
      <c r="F106" s="18" t="s">
        <v>23</v>
      </c>
      <c r="G106" s="34"/>
      <c r="H106" s="35"/>
      <c r="I106" s="34"/>
      <c r="J106" s="46">
        <f>2500000+60000+200000+168125+500000</f>
        <v>3428125</v>
      </c>
    </row>
    <row r="107" spans="1:12" s="60" customFormat="1" ht="15" x14ac:dyDescent="0.25">
      <c r="A107" s="20"/>
      <c r="B107" s="20"/>
      <c r="C107" s="20"/>
      <c r="D107" s="20"/>
      <c r="E107" s="22" t="s">
        <v>232</v>
      </c>
      <c r="F107" s="92"/>
      <c r="G107" s="38"/>
      <c r="H107" s="39"/>
      <c r="I107" s="38"/>
      <c r="J107" s="79">
        <v>500000</v>
      </c>
      <c r="L107" s="80"/>
    </row>
    <row r="108" spans="1:12" s="58" customFormat="1" ht="15" x14ac:dyDescent="0.2">
      <c r="A108" s="16" t="s">
        <v>233</v>
      </c>
      <c r="B108" s="16">
        <v>5060</v>
      </c>
      <c r="C108" s="16"/>
      <c r="D108" s="16"/>
      <c r="E108" s="17" t="s">
        <v>234</v>
      </c>
      <c r="F108" s="18"/>
      <c r="G108" s="34"/>
      <c r="H108" s="35"/>
      <c r="I108" s="34"/>
      <c r="J108" s="46">
        <f>J109</f>
        <v>748264</v>
      </c>
    </row>
    <row r="109" spans="1:12" s="58" customFormat="1" ht="45" x14ac:dyDescent="0.2">
      <c r="A109" s="16" t="s">
        <v>235</v>
      </c>
      <c r="B109" s="16" t="s">
        <v>236</v>
      </c>
      <c r="C109" s="16">
        <v>130115</v>
      </c>
      <c r="D109" s="16" t="s">
        <v>230</v>
      </c>
      <c r="E109" s="17" t="s">
        <v>237</v>
      </c>
      <c r="F109" s="18" t="s">
        <v>23</v>
      </c>
      <c r="G109" s="34"/>
      <c r="H109" s="35"/>
      <c r="I109" s="34"/>
      <c r="J109" s="46">
        <f>3000000-2500000+60000+55000-36736+170000</f>
        <v>748264</v>
      </c>
    </row>
    <row r="110" spans="1:12" s="78" customFormat="1" ht="28.5" x14ac:dyDescent="0.2">
      <c r="A110" s="23" t="s">
        <v>238</v>
      </c>
      <c r="B110" s="55"/>
      <c r="C110" s="55"/>
      <c r="D110" s="55"/>
      <c r="E110" s="24" t="s">
        <v>239</v>
      </c>
      <c r="F110" s="56"/>
      <c r="G110" s="76"/>
      <c r="H110" s="77"/>
      <c r="I110" s="76"/>
      <c r="J110" s="45">
        <f>J111</f>
        <v>34254700</v>
      </c>
    </row>
    <row r="111" spans="1:12" s="78" customFormat="1" ht="28.5" x14ac:dyDescent="0.2">
      <c r="A111" s="23" t="s">
        <v>240</v>
      </c>
      <c r="B111" s="55"/>
      <c r="C111" s="55"/>
      <c r="D111" s="55"/>
      <c r="E111" s="24" t="s">
        <v>239</v>
      </c>
      <c r="F111" s="56"/>
      <c r="G111" s="76"/>
      <c r="H111" s="77"/>
      <c r="I111" s="76"/>
      <c r="J111" s="45">
        <f>J112</f>
        <v>34254700</v>
      </c>
    </row>
    <row r="112" spans="1:12" s="58" customFormat="1" ht="75" x14ac:dyDescent="0.2">
      <c r="A112" s="16" t="s">
        <v>241</v>
      </c>
      <c r="B112" s="16" t="s">
        <v>242</v>
      </c>
      <c r="C112" s="16" t="s">
        <v>104</v>
      </c>
      <c r="D112" s="16" t="s">
        <v>243</v>
      </c>
      <c r="E112" s="17" t="s">
        <v>244</v>
      </c>
      <c r="F112" s="18" t="s">
        <v>23</v>
      </c>
      <c r="G112" s="34"/>
      <c r="H112" s="35"/>
      <c r="I112" s="34"/>
      <c r="J112" s="46">
        <v>34254700</v>
      </c>
    </row>
    <row r="113" spans="1:13" s="60" customFormat="1" ht="15" x14ac:dyDescent="0.25">
      <c r="A113" s="20"/>
      <c r="B113" s="20"/>
      <c r="C113" s="20"/>
      <c r="D113" s="20"/>
      <c r="E113" s="22" t="s">
        <v>232</v>
      </c>
      <c r="F113" s="92"/>
      <c r="G113" s="38"/>
      <c r="H113" s="39"/>
      <c r="I113" s="38"/>
      <c r="J113" s="79">
        <v>34254700</v>
      </c>
      <c r="L113" s="80"/>
    </row>
    <row r="114" spans="1:13" s="57" customFormat="1" ht="28.5" x14ac:dyDescent="0.2">
      <c r="A114" s="23" t="s">
        <v>245</v>
      </c>
      <c r="B114" s="23"/>
      <c r="C114" s="23" t="s">
        <v>246</v>
      </c>
      <c r="D114" s="23"/>
      <c r="E114" s="24" t="s">
        <v>247</v>
      </c>
      <c r="F114" s="25"/>
      <c r="G114" s="36"/>
      <c r="H114" s="37"/>
      <c r="I114" s="36"/>
      <c r="J114" s="45">
        <f>J115</f>
        <v>19024211</v>
      </c>
    </row>
    <row r="115" spans="1:13" s="57" customFormat="1" ht="28.5" x14ac:dyDescent="0.2">
      <c r="A115" s="23" t="s">
        <v>248</v>
      </c>
      <c r="B115" s="23"/>
      <c r="C115" s="23" t="s">
        <v>246</v>
      </c>
      <c r="D115" s="23"/>
      <c r="E115" s="24" t="s">
        <v>247</v>
      </c>
      <c r="F115" s="25"/>
      <c r="G115" s="36"/>
      <c r="H115" s="37"/>
      <c r="I115" s="36"/>
      <c r="J115" s="45">
        <f>J116+J118+J120+J121+J122+J119+J117</f>
        <v>19024211</v>
      </c>
      <c r="K115" s="96">
        <f>J115-J116-J126-J117</f>
        <v>12436914</v>
      </c>
      <c r="L115" s="57">
        <v>19024211</v>
      </c>
      <c r="M115" s="97">
        <f>J115-L115</f>
        <v>0</v>
      </c>
    </row>
    <row r="116" spans="1:13" s="58" customFormat="1" ht="30" x14ac:dyDescent="0.2">
      <c r="A116" s="16" t="s">
        <v>249</v>
      </c>
      <c r="B116" s="16">
        <v>1120</v>
      </c>
      <c r="C116" s="16" t="s">
        <v>72</v>
      </c>
      <c r="D116" s="16" t="s">
        <v>73</v>
      </c>
      <c r="E116" s="17" t="s">
        <v>119</v>
      </c>
      <c r="F116" s="18" t="s">
        <v>23</v>
      </c>
      <c r="G116" s="34"/>
      <c r="H116" s="35"/>
      <c r="I116" s="34"/>
      <c r="J116" s="46">
        <f>2000000+2663772+394525+14000</f>
        <v>5072297</v>
      </c>
    </row>
    <row r="117" spans="1:13" s="58" customFormat="1" ht="30" x14ac:dyDescent="0.2">
      <c r="A117" s="16" t="s">
        <v>250</v>
      </c>
      <c r="B117" s="16" t="s">
        <v>251</v>
      </c>
      <c r="C117" s="16"/>
      <c r="D117" s="16" t="s">
        <v>252</v>
      </c>
      <c r="E117" s="17" t="s">
        <v>253</v>
      </c>
      <c r="F117" s="18" t="s">
        <v>23</v>
      </c>
      <c r="G117" s="34"/>
      <c r="H117" s="35"/>
      <c r="I117" s="34"/>
      <c r="J117" s="46">
        <v>1500000</v>
      </c>
    </row>
    <row r="118" spans="1:13" s="58" customFormat="1" ht="15" x14ac:dyDescent="0.2">
      <c r="A118" s="16" t="s">
        <v>254</v>
      </c>
      <c r="B118" s="16">
        <v>4020</v>
      </c>
      <c r="C118" s="16" t="s">
        <v>255</v>
      </c>
      <c r="D118" s="16" t="s">
        <v>256</v>
      </c>
      <c r="E118" s="17" t="s">
        <v>257</v>
      </c>
      <c r="F118" s="18" t="s">
        <v>23</v>
      </c>
      <c r="G118" s="34"/>
      <c r="H118" s="35"/>
      <c r="I118" s="34"/>
      <c r="J118" s="46">
        <f>4500000+41000+21488-4133772+1500000-180475-1234989</f>
        <v>513252</v>
      </c>
    </row>
    <row r="119" spans="1:13" s="58" customFormat="1" ht="30" x14ac:dyDescent="0.2">
      <c r="A119" s="16" t="s">
        <v>258</v>
      </c>
      <c r="B119" s="16" t="s">
        <v>259</v>
      </c>
      <c r="C119" s="16"/>
      <c r="D119" s="16" t="s">
        <v>260</v>
      </c>
      <c r="E119" s="17" t="s">
        <v>261</v>
      </c>
      <c r="F119" s="18"/>
      <c r="G119" s="34"/>
      <c r="H119" s="35"/>
      <c r="I119" s="34"/>
      <c r="J119" s="46">
        <f>297000</f>
        <v>297000</v>
      </c>
    </row>
    <row r="120" spans="1:13" s="58" customFormat="1" ht="15" x14ac:dyDescent="0.2">
      <c r="A120" s="16" t="s">
        <v>262</v>
      </c>
      <c r="B120" s="16">
        <v>4060</v>
      </c>
      <c r="C120" s="16">
        <v>110201</v>
      </c>
      <c r="D120" s="16" t="s">
        <v>156</v>
      </c>
      <c r="E120" s="17" t="s">
        <v>157</v>
      </c>
      <c r="F120" s="18" t="s">
        <v>23</v>
      </c>
      <c r="G120" s="34"/>
      <c r="H120" s="35"/>
      <c r="I120" s="34"/>
      <c r="J120" s="46">
        <f>964400+1500000+564578+255000</f>
        <v>3283978</v>
      </c>
    </row>
    <row r="121" spans="1:13" s="58" customFormat="1" ht="15" x14ac:dyDescent="0.2">
      <c r="A121" s="16" t="s">
        <v>263</v>
      </c>
      <c r="B121" s="16">
        <v>4070</v>
      </c>
      <c r="C121" s="16">
        <v>110202</v>
      </c>
      <c r="D121" s="16" t="s">
        <v>156</v>
      </c>
      <c r="E121" s="17" t="s">
        <v>264</v>
      </c>
      <c r="F121" s="18" t="s">
        <v>23</v>
      </c>
      <c r="G121" s="34"/>
      <c r="H121" s="35"/>
      <c r="I121" s="34"/>
      <c r="J121" s="46">
        <f>920000+4050000+20000+183000+95867</f>
        <v>5268867</v>
      </c>
    </row>
    <row r="122" spans="1:13" s="58" customFormat="1" ht="15" x14ac:dyDescent="0.2">
      <c r="A122" s="16" t="s">
        <v>265</v>
      </c>
      <c r="B122" s="16" t="s">
        <v>103</v>
      </c>
      <c r="C122" s="16" t="s">
        <v>104</v>
      </c>
      <c r="D122" s="16" t="s">
        <v>31</v>
      </c>
      <c r="E122" s="17" t="s">
        <v>105</v>
      </c>
      <c r="F122" s="18"/>
      <c r="G122" s="34"/>
      <c r="H122" s="35"/>
      <c r="I122" s="34"/>
      <c r="J122" s="46">
        <f>J124+J126+J125+J127+J128+J129</f>
        <v>3088817</v>
      </c>
      <c r="K122" s="112">
        <f>J122-J126</f>
        <v>3073817</v>
      </c>
    </row>
    <row r="123" spans="1:13" s="58" customFormat="1" ht="15" x14ac:dyDescent="0.2">
      <c r="A123" s="16"/>
      <c r="B123" s="16"/>
      <c r="C123" s="16"/>
      <c r="D123" s="16"/>
      <c r="E123" s="17" t="s">
        <v>43</v>
      </c>
      <c r="F123" s="18"/>
      <c r="G123" s="34"/>
      <c r="H123" s="35"/>
      <c r="I123" s="34"/>
      <c r="J123" s="46"/>
    </row>
    <row r="124" spans="1:13" s="58" customFormat="1" ht="45" x14ac:dyDescent="0.2">
      <c r="A124" s="16"/>
      <c r="B124" s="16"/>
      <c r="C124" s="16"/>
      <c r="D124" s="16"/>
      <c r="E124" s="17"/>
      <c r="F124" s="18" t="s">
        <v>266</v>
      </c>
      <c r="G124" s="34"/>
      <c r="H124" s="35"/>
      <c r="I124" s="34"/>
      <c r="J124" s="46">
        <f>2000000+216475</f>
        <v>2216475</v>
      </c>
    </row>
    <row r="125" spans="1:13" s="58" customFormat="1" ht="38.25" customHeight="1" x14ac:dyDescent="0.2">
      <c r="A125" s="16"/>
      <c r="B125" s="16"/>
      <c r="C125" s="16"/>
      <c r="D125" s="16"/>
      <c r="E125" s="17"/>
      <c r="F125" s="18" t="s">
        <v>267</v>
      </c>
      <c r="G125" s="34"/>
      <c r="H125" s="35"/>
      <c r="I125" s="34"/>
      <c r="J125" s="46">
        <f>156905+29769</f>
        <v>186674</v>
      </c>
    </row>
    <row r="126" spans="1:13" s="58" customFormat="1" ht="55.5" customHeight="1" x14ac:dyDescent="0.2">
      <c r="A126" s="16"/>
      <c r="B126" s="16"/>
      <c r="C126" s="16"/>
      <c r="D126" s="16"/>
      <c r="E126" s="17"/>
      <c r="F126" s="18" t="s">
        <v>268</v>
      </c>
      <c r="G126" s="34"/>
      <c r="H126" s="35"/>
      <c r="I126" s="34"/>
      <c r="J126" s="46">
        <v>15000</v>
      </c>
    </row>
    <row r="127" spans="1:13" s="58" customFormat="1" ht="78" customHeight="1" x14ac:dyDescent="0.25">
      <c r="A127" s="16"/>
      <c r="B127" s="16"/>
      <c r="C127" s="16"/>
      <c r="D127" s="16"/>
      <c r="E127" s="17"/>
      <c r="F127" s="64" t="s">
        <v>269</v>
      </c>
      <c r="G127" s="34"/>
      <c r="H127" s="35"/>
      <c r="I127" s="34"/>
      <c r="J127" s="46">
        <v>120000</v>
      </c>
    </row>
    <row r="128" spans="1:13" s="58" customFormat="1" ht="75" x14ac:dyDescent="0.25">
      <c r="A128" s="16"/>
      <c r="B128" s="16"/>
      <c r="C128" s="16"/>
      <c r="D128" s="16"/>
      <c r="E128" s="17"/>
      <c r="F128" s="64" t="s">
        <v>270</v>
      </c>
      <c r="G128" s="34"/>
      <c r="H128" s="35"/>
      <c r="I128" s="34"/>
      <c r="J128" s="46">
        <v>70000</v>
      </c>
    </row>
    <row r="129" spans="1:10" s="58" customFormat="1" ht="45" x14ac:dyDescent="0.25">
      <c r="A129" s="16"/>
      <c r="B129" s="16"/>
      <c r="C129" s="16"/>
      <c r="D129" s="16"/>
      <c r="E129" s="17"/>
      <c r="F129" s="64" t="s">
        <v>271</v>
      </c>
      <c r="G129" s="34"/>
      <c r="H129" s="35"/>
      <c r="I129" s="34"/>
      <c r="J129" s="46">
        <v>480668</v>
      </c>
    </row>
    <row r="130" spans="1:10" s="58" customFormat="1" ht="51.75" customHeight="1" x14ac:dyDescent="0.2">
      <c r="A130" s="23" t="s">
        <v>272</v>
      </c>
      <c r="B130" s="16"/>
      <c r="C130" s="16"/>
      <c r="D130" s="16"/>
      <c r="E130" s="24" t="s">
        <v>273</v>
      </c>
      <c r="F130" s="18"/>
      <c r="G130" s="34"/>
      <c r="H130" s="35"/>
      <c r="I130" s="34"/>
      <c r="J130" s="45">
        <f>J131</f>
        <v>4800000</v>
      </c>
    </row>
    <row r="131" spans="1:10" s="58" customFormat="1" ht="51" customHeight="1" x14ac:dyDescent="0.2">
      <c r="A131" s="23" t="s">
        <v>274</v>
      </c>
      <c r="B131" s="16"/>
      <c r="C131" s="16"/>
      <c r="D131" s="16"/>
      <c r="E131" s="24" t="s">
        <v>273</v>
      </c>
      <c r="F131" s="18"/>
      <c r="G131" s="34"/>
      <c r="H131" s="35"/>
      <c r="I131" s="34"/>
      <c r="J131" s="45">
        <f>J132</f>
        <v>4800000</v>
      </c>
    </row>
    <row r="132" spans="1:10" s="58" customFormat="1" ht="55.5" customHeight="1" x14ac:dyDescent="0.2">
      <c r="A132" s="65" t="s">
        <v>275</v>
      </c>
      <c r="B132" s="16" t="s">
        <v>99</v>
      </c>
      <c r="C132" s="16"/>
      <c r="D132" s="16" t="s">
        <v>26</v>
      </c>
      <c r="E132" s="17" t="s">
        <v>101</v>
      </c>
      <c r="F132" s="18"/>
      <c r="G132" s="34"/>
      <c r="H132" s="35"/>
      <c r="I132" s="34"/>
      <c r="J132" s="46">
        <v>4800000</v>
      </c>
    </row>
    <row r="133" spans="1:10" s="57" customFormat="1" ht="42.75" x14ac:dyDescent="0.2">
      <c r="A133" s="23" t="s">
        <v>276</v>
      </c>
      <c r="B133" s="23"/>
      <c r="C133" s="23" t="s">
        <v>277</v>
      </c>
      <c r="D133" s="23"/>
      <c r="E133" s="24" t="s">
        <v>278</v>
      </c>
      <c r="F133" s="25"/>
      <c r="G133" s="36"/>
      <c r="H133" s="37"/>
      <c r="I133" s="36"/>
      <c r="J133" s="45">
        <f>J134</f>
        <v>1270697301</v>
      </c>
    </row>
    <row r="134" spans="1:10" s="57" customFormat="1" ht="42.75" x14ac:dyDescent="0.2">
      <c r="A134" s="23" t="s">
        <v>279</v>
      </c>
      <c r="B134" s="23"/>
      <c r="C134" s="23" t="s">
        <v>277</v>
      </c>
      <c r="D134" s="23"/>
      <c r="E134" s="24" t="s">
        <v>278</v>
      </c>
      <c r="F134" s="25"/>
      <c r="G134" s="36"/>
      <c r="H134" s="37"/>
      <c r="I134" s="36"/>
      <c r="J134" s="45">
        <f>J135+J138+J140+J179+J284+J310+J177+J178+J321+J319</f>
        <v>1270697301</v>
      </c>
    </row>
    <row r="135" spans="1:10" s="58" customFormat="1" ht="15" x14ac:dyDescent="0.2">
      <c r="A135" s="16" t="s">
        <v>280</v>
      </c>
      <c r="B135" s="16" t="s">
        <v>281</v>
      </c>
      <c r="C135" s="16"/>
      <c r="D135" s="16"/>
      <c r="E135" s="17" t="s">
        <v>282</v>
      </c>
      <c r="F135" s="18"/>
      <c r="G135" s="34"/>
      <c r="H135" s="35"/>
      <c r="I135" s="34"/>
      <c r="J135" s="46">
        <f>J136</f>
        <v>1608596</v>
      </c>
    </row>
    <row r="136" spans="1:10" s="58" customFormat="1" ht="15" x14ac:dyDescent="0.2">
      <c r="A136" s="16" t="s">
        <v>283</v>
      </c>
      <c r="B136" s="16">
        <v>6021</v>
      </c>
      <c r="C136" s="16" t="s">
        <v>284</v>
      </c>
      <c r="D136" s="16" t="s">
        <v>243</v>
      </c>
      <c r="E136" s="17" t="s">
        <v>285</v>
      </c>
      <c r="F136" s="18" t="s">
        <v>23</v>
      </c>
      <c r="G136" s="34"/>
      <c r="H136" s="35"/>
      <c r="I136" s="34"/>
      <c r="J136" s="46">
        <f>7500000+323396-6408800+194000+30000-30000</f>
        <v>1608596</v>
      </c>
    </row>
    <row r="137" spans="1:10" s="58" customFormat="1" ht="15" x14ac:dyDescent="0.2">
      <c r="A137" s="16"/>
      <c r="B137" s="16"/>
      <c r="C137" s="16"/>
      <c r="D137" s="16"/>
      <c r="E137" s="17"/>
      <c r="F137" s="18" t="s">
        <v>286</v>
      </c>
      <c r="G137" s="34"/>
      <c r="H137" s="35"/>
      <c r="I137" s="34"/>
      <c r="J137" s="46">
        <v>323396</v>
      </c>
    </row>
    <row r="138" spans="1:10" s="58" customFormat="1" ht="15" x14ac:dyDescent="0.2">
      <c r="A138" s="16" t="s">
        <v>287</v>
      </c>
      <c r="B138" s="16" t="s">
        <v>288</v>
      </c>
      <c r="C138" s="16"/>
      <c r="D138" s="16"/>
      <c r="E138" s="17" t="s">
        <v>289</v>
      </c>
      <c r="F138" s="18"/>
      <c r="G138" s="34"/>
      <c r="H138" s="35"/>
      <c r="I138" s="34"/>
      <c r="J138" s="46">
        <f>J139</f>
        <v>3800000</v>
      </c>
    </row>
    <row r="139" spans="1:10" s="58" customFormat="1" ht="30" x14ac:dyDescent="0.2">
      <c r="A139" s="16" t="s">
        <v>290</v>
      </c>
      <c r="B139" s="16">
        <v>6052</v>
      </c>
      <c r="C139" s="16" t="s">
        <v>291</v>
      </c>
      <c r="D139" s="16" t="s">
        <v>292</v>
      </c>
      <c r="E139" s="17" t="s">
        <v>293</v>
      </c>
      <c r="F139" s="18" t="s">
        <v>23</v>
      </c>
      <c r="G139" s="34"/>
      <c r="H139" s="35"/>
      <c r="I139" s="34"/>
      <c r="J139" s="46">
        <f>4000000+1500000-1500000-200000</f>
        <v>3800000</v>
      </c>
    </row>
    <row r="140" spans="1:10" s="58" customFormat="1" ht="15" x14ac:dyDescent="0.2">
      <c r="A140" s="16" t="s">
        <v>294</v>
      </c>
      <c r="B140" s="16">
        <v>6060</v>
      </c>
      <c r="C140" s="16" t="s">
        <v>295</v>
      </c>
      <c r="D140" s="16" t="s">
        <v>292</v>
      </c>
      <c r="E140" s="17" t="s">
        <v>296</v>
      </c>
      <c r="F140" s="18"/>
      <c r="G140" s="34"/>
      <c r="H140" s="35"/>
      <c r="I140" s="34"/>
      <c r="J140" s="46">
        <f>J145+J152+J142+J150+J156+J159+J161+J162+J163+J166+J170+J172+J148+J154+J157+J168+J176+J174</f>
        <v>139305568</v>
      </c>
    </row>
    <row r="141" spans="1:10" s="58" customFormat="1" ht="15" x14ac:dyDescent="0.2">
      <c r="A141" s="16"/>
      <c r="B141" s="16"/>
      <c r="C141" s="16"/>
      <c r="D141" s="16"/>
      <c r="E141" s="17" t="s">
        <v>43</v>
      </c>
      <c r="F141" s="18"/>
      <c r="G141" s="34"/>
      <c r="H141" s="35"/>
      <c r="I141" s="34"/>
      <c r="J141" s="46"/>
    </row>
    <row r="142" spans="1:10" s="58" customFormat="1" ht="15" x14ac:dyDescent="0.2">
      <c r="A142" s="16"/>
      <c r="B142" s="16"/>
      <c r="C142" s="16"/>
      <c r="D142" s="16"/>
      <c r="E142" s="17"/>
      <c r="F142" s="18" t="s">
        <v>23</v>
      </c>
      <c r="G142" s="34"/>
      <c r="H142" s="35"/>
      <c r="I142" s="34"/>
      <c r="J142" s="46">
        <f>26865400+20166124-1865400+20000000+100000+8300000+7073260</f>
        <v>80639384</v>
      </c>
    </row>
    <row r="143" spans="1:10" s="58" customFormat="1" ht="15" x14ac:dyDescent="0.2">
      <c r="A143" s="16"/>
      <c r="B143" s="16"/>
      <c r="C143" s="16"/>
      <c r="D143" s="16"/>
      <c r="E143" s="17"/>
      <c r="F143" s="18" t="s">
        <v>286</v>
      </c>
      <c r="G143" s="34"/>
      <c r="H143" s="35"/>
      <c r="I143" s="34"/>
      <c r="J143" s="46">
        <v>166124</v>
      </c>
    </row>
    <row r="144" spans="1:10" s="58" customFormat="1" ht="15" x14ac:dyDescent="0.2">
      <c r="A144" s="16"/>
      <c r="B144" s="16"/>
      <c r="C144" s="16"/>
      <c r="D144" s="16"/>
      <c r="E144" s="17"/>
      <c r="F144" s="22" t="s">
        <v>297</v>
      </c>
      <c r="G144" s="34"/>
      <c r="H144" s="35"/>
      <c r="I144" s="34"/>
      <c r="J144" s="46"/>
    </row>
    <row r="145" spans="1:10" s="58" customFormat="1" ht="30" x14ac:dyDescent="0.2">
      <c r="A145" s="16"/>
      <c r="B145" s="16"/>
      <c r="C145" s="16"/>
      <c r="D145" s="16"/>
      <c r="E145" s="17"/>
      <c r="F145" s="18" t="s">
        <v>298</v>
      </c>
      <c r="G145" s="34">
        <v>50366872</v>
      </c>
      <c r="H145" s="35">
        <v>76.3</v>
      </c>
      <c r="I145" s="34">
        <v>38404751</v>
      </c>
      <c r="J145" s="46">
        <f>6962121+5000000</f>
        <v>11962121</v>
      </c>
    </row>
    <row r="146" spans="1:10" s="60" customFormat="1" ht="15" x14ac:dyDescent="0.2">
      <c r="A146" s="20"/>
      <c r="B146" s="20"/>
      <c r="C146" s="20"/>
      <c r="D146" s="20"/>
      <c r="E146" s="21"/>
      <c r="F146" s="67" t="s">
        <v>232</v>
      </c>
      <c r="G146" s="38"/>
      <c r="H146" s="39"/>
      <c r="I146" s="38"/>
      <c r="J146" s="47">
        <v>5000000</v>
      </c>
    </row>
    <row r="147" spans="1:10" s="58" customFormat="1" ht="15" x14ac:dyDescent="0.2">
      <c r="A147" s="16"/>
      <c r="B147" s="16"/>
      <c r="C147" s="16"/>
      <c r="D147" s="16"/>
      <c r="E147" s="17"/>
      <c r="F147" s="22" t="s">
        <v>299</v>
      </c>
      <c r="G147" s="34"/>
      <c r="H147" s="35"/>
      <c r="I147" s="34"/>
      <c r="J147" s="46"/>
    </row>
    <row r="148" spans="1:10" s="58" customFormat="1" ht="45" x14ac:dyDescent="0.2">
      <c r="A148" s="16"/>
      <c r="B148" s="16"/>
      <c r="C148" s="16"/>
      <c r="D148" s="16"/>
      <c r="E148" s="17"/>
      <c r="F148" s="66" t="s">
        <v>300</v>
      </c>
      <c r="G148" s="34">
        <v>100000</v>
      </c>
      <c r="H148" s="35">
        <v>0</v>
      </c>
      <c r="I148" s="34">
        <v>0</v>
      </c>
      <c r="J148" s="46">
        <v>100000</v>
      </c>
    </row>
    <row r="149" spans="1:10" s="58" customFormat="1" ht="15" x14ac:dyDescent="0.2">
      <c r="A149" s="16"/>
      <c r="B149" s="16"/>
      <c r="C149" s="16"/>
      <c r="D149" s="16"/>
      <c r="E149" s="17"/>
      <c r="F149" s="22" t="s">
        <v>301</v>
      </c>
      <c r="G149" s="34"/>
      <c r="H149" s="35"/>
      <c r="I149" s="34"/>
      <c r="J149" s="46"/>
    </row>
    <row r="150" spans="1:10" s="58" customFormat="1" ht="40.5" customHeight="1" x14ac:dyDescent="0.2">
      <c r="A150" s="16"/>
      <c r="B150" s="16"/>
      <c r="C150" s="16"/>
      <c r="D150" s="16"/>
      <c r="E150" s="17"/>
      <c r="F150" s="18" t="s">
        <v>302</v>
      </c>
      <c r="G150" s="34">
        <v>41635364</v>
      </c>
      <c r="H150" s="35">
        <v>58</v>
      </c>
      <c r="I150" s="34">
        <v>24165364</v>
      </c>
      <c r="J150" s="46">
        <f>1470000+16000000</f>
        <v>17470000</v>
      </c>
    </row>
    <row r="151" spans="1:10" s="58" customFormat="1" ht="15" x14ac:dyDescent="0.2">
      <c r="A151" s="16"/>
      <c r="B151" s="16"/>
      <c r="C151" s="16"/>
      <c r="D151" s="16"/>
      <c r="E151" s="17"/>
      <c r="F151" s="22" t="s">
        <v>303</v>
      </c>
      <c r="G151" s="34"/>
      <c r="H151" s="35"/>
      <c r="I151" s="34"/>
      <c r="J151" s="46"/>
    </row>
    <row r="152" spans="1:10" s="58" customFormat="1" ht="30" x14ac:dyDescent="0.2">
      <c r="A152" s="16"/>
      <c r="B152" s="16"/>
      <c r="C152" s="16"/>
      <c r="D152" s="16"/>
      <c r="E152" s="17"/>
      <c r="F152" s="18" t="s">
        <v>304</v>
      </c>
      <c r="G152" s="34">
        <v>19881404</v>
      </c>
      <c r="H152" s="35">
        <v>15.7</v>
      </c>
      <c r="I152" s="34">
        <v>3118787</v>
      </c>
      <c r="J152" s="46">
        <f>15731400-4000000+4000000</f>
        <v>15731400</v>
      </c>
    </row>
    <row r="153" spans="1:10" s="58" customFormat="1" ht="15" x14ac:dyDescent="0.2">
      <c r="A153" s="16"/>
      <c r="B153" s="16"/>
      <c r="C153" s="16"/>
      <c r="D153" s="16"/>
      <c r="E153" s="17"/>
      <c r="F153" s="67" t="s">
        <v>232</v>
      </c>
      <c r="G153" s="34"/>
      <c r="H153" s="35"/>
      <c r="I153" s="34"/>
      <c r="J153" s="47">
        <v>4000000</v>
      </c>
    </row>
    <row r="154" spans="1:10" s="58" customFormat="1" ht="30" x14ac:dyDescent="0.2">
      <c r="A154" s="16"/>
      <c r="B154" s="16"/>
      <c r="C154" s="16"/>
      <c r="D154" s="16"/>
      <c r="E154" s="17"/>
      <c r="F154" s="66" t="s">
        <v>305</v>
      </c>
      <c r="G154" s="34">
        <v>200000</v>
      </c>
      <c r="H154" s="35"/>
      <c r="I154" s="34"/>
      <c r="J154" s="46">
        <v>200000</v>
      </c>
    </row>
    <row r="155" spans="1:10" s="58" customFormat="1" ht="15" x14ac:dyDescent="0.2">
      <c r="A155" s="16"/>
      <c r="B155" s="16"/>
      <c r="C155" s="16"/>
      <c r="D155" s="16"/>
      <c r="E155" s="17"/>
      <c r="F155" s="22" t="s">
        <v>306</v>
      </c>
      <c r="G155" s="34"/>
      <c r="H155" s="35"/>
      <c r="I155" s="34"/>
      <c r="J155" s="46"/>
    </row>
    <row r="156" spans="1:10" s="58" customFormat="1" ht="43.5" customHeight="1" x14ac:dyDescent="0.2">
      <c r="A156" s="16"/>
      <c r="B156" s="16"/>
      <c r="C156" s="16"/>
      <c r="D156" s="16"/>
      <c r="E156" s="17"/>
      <c r="F156" s="66" t="s">
        <v>307</v>
      </c>
      <c r="G156" s="34">
        <v>49722332</v>
      </c>
      <c r="H156" s="35">
        <v>99.6</v>
      </c>
      <c r="I156" s="34">
        <v>49522332</v>
      </c>
      <c r="J156" s="46">
        <v>200000</v>
      </c>
    </row>
    <row r="157" spans="1:10" s="58" customFormat="1" ht="43.5" customHeight="1" x14ac:dyDescent="0.2">
      <c r="A157" s="16"/>
      <c r="B157" s="16"/>
      <c r="C157" s="16"/>
      <c r="D157" s="16"/>
      <c r="E157" s="17"/>
      <c r="F157" s="136" t="s">
        <v>308</v>
      </c>
      <c r="G157" s="34">
        <v>100000</v>
      </c>
      <c r="H157" s="35"/>
      <c r="I157" s="34"/>
      <c r="J157" s="46">
        <v>100000</v>
      </c>
    </row>
    <row r="158" spans="1:10" s="58" customFormat="1" ht="15" x14ac:dyDescent="0.2">
      <c r="A158" s="16"/>
      <c r="B158" s="16"/>
      <c r="C158" s="16"/>
      <c r="D158" s="16"/>
      <c r="E158" s="17"/>
      <c r="F158" s="22" t="s">
        <v>309</v>
      </c>
      <c r="G158" s="34"/>
      <c r="H158" s="35"/>
      <c r="I158" s="34"/>
      <c r="J158" s="46"/>
    </row>
    <row r="159" spans="1:10" s="58" customFormat="1" ht="40.5" customHeight="1" x14ac:dyDescent="0.2">
      <c r="A159" s="16"/>
      <c r="B159" s="16"/>
      <c r="C159" s="16"/>
      <c r="D159" s="16"/>
      <c r="E159" s="17"/>
      <c r="F159" s="18" t="s">
        <v>310</v>
      </c>
      <c r="G159" s="46">
        <v>85125567</v>
      </c>
      <c r="H159" s="35">
        <v>58.9</v>
      </c>
      <c r="I159" s="34">
        <v>50125567</v>
      </c>
      <c r="J159" s="46">
        <v>3500000</v>
      </c>
    </row>
    <row r="160" spans="1:10" s="58" customFormat="1" ht="15" x14ac:dyDescent="0.2">
      <c r="A160" s="16"/>
      <c r="B160" s="16"/>
      <c r="C160" s="16"/>
      <c r="D160" s="16"/>
      <c r="E160" s="17"/>
      <c r="F160" s="22" t="s">
        <v>311</v>
      </c>
      <c r="G160" s="34"/>
      <c r="H160" s="35"/>
      <c r="I160" s="34"/>
      <c r="J160" s="46"/>
    </row>
    <row r="161" spans="1:10" s="58" customFormat="1" ht="30" x14ac:dyDescent="0.2">
      <c r="A161" s="16"/>
      <c r="B161" s="16"/>
      <c r="C161" s="16"/>
      <c r="D161" s="16"/>
      <c r="E161" s="17"/>
      <c r="F161" s="17" t="s">
        <v>312</v>
      </c>
      <c r="G161" s="34">
        <v>16917336</v>
      </c>
      <c r="H161" s="35">
        <v>17.100000000000001</v>
      </c>
      <c r="I161" s="34">
        <v>2898882</v>
      </c>
      <c r="J161" s="46">
        <f>2450000-400000-1949000</f>
        <v>101000</v>
      </c>
    </row>
    <row r="162" spans="1:10" s="58" customFormat="1" ht="30" x14ac:dyDescent="0.2">
      <c r="A162" s="16"/>
      <c r="B162" s="16"/>
      <c r="C162" s="16"/>
      <c r="D162" s="16"/>
      <c r="E162" s="17"/>
      <c r="F162" s="17" t="s">
        <v>313</v>
      </c>
      <c r="G162" s="34">
        <v>35121695</v>
      </c>
      <c r="H162" s="35">
        <v>91.2</v>
      </c>
      <c r="I162" s="34">
        <v>32021695</v>
      </c>
      <c r="J162" s="46">
        <v>3100000</v>
      </c>
    </row>
    <row r="163" spans="1:10" s="58" customFormat="1" ht="30" x14ac:dyDescent="0.2">
      <c r="A163" s="16"/>
      <c r="B163" s="16"/>
      <c r="C163" s="16"/>
      <c r="D163" s="16"/>
      <c r="E163" s="17"/>
      <c r="F163" s="66" t="s">
        <v>314</v>
      </c>
      <c r="G163" s="90">
        <v>6940177</v>
      </c>
      <c r="H163" s="73">
        <v>33.700000000000003</v>
      </c>
      <c r="I163" s="90">
        <v>2340177</v>
      </c>
      <c r="J163" s="46">
        <f>1600000+3000000</f>
        <v>4600000</v>
      </c>
    </row>
    <row r="164" spans="1:10" s="60" customFormat="1" ht="16.5" customHeight="1" x14ac:dyDescent="0.2">
      <c r="A164" s="20"/>
      <c r="B164" s="20"/>
      <c r="C164" s="20"/>
      <c r="D164" s="20"/>
      <c r="E164" s="21"/>
      <c r="F164" s="67" t="s">
        <v>232</v>
      </c>
      <c r="G164" s="108"/>
      <c r="H164" s="39"/>
      <c r="I164" s="108"/>
      <c r="J164" s="47">
        <v>3000000</v>
      </c>
    </row>
    <row r="165" spans="1:10" s="58" customFormat="1" ht="15" x14ac:dyDescent="0.2">
      <c r="A165" s="16"/>
      <c r="B165" s="16"/>
      <c r="C165" s="16"/>
      <c r="D165" s="16"/>
      <c r="E165" s="17"/>
      <c r="F165" s="22" t="s">
        <v>315</v>
      </c>
      <c r="G165" s="34"/>
      <c r="H165" s="35"/>
      <c r="I165" s="34"/>
      <c r="J165" s="46"/>
    </row>
    <row r="166" spans="1:10" s="58" customFormat="1" ht="45" x14ac:dyDescent="0.2">
      <c r="A166" s="16"/>
      <c r="B166" s="16"/>
      <c r="C166" s="16"/>
      <c r="D166" s="16"/>
      <c r="E166" s="17"/>
      <c r="F166" s="18" t="s">
        <v>316</v>
      </c>
      <c r="G166" s="34">
        <v>2175779</v>
      </c>
      <c r="H166" s="35">
        <v>72.3</v>
      </c>
      <c r="I166" s="34">
        <v>1574116</v>
      </c>
      <c r="J166" s="46">
        <f>100000+2000000-1498337</f>
        <v>601663</v>
      </c>
    </row>
    <row r="167" spans="1:10" s="58" customFormat="1" ht="15" x14ac:dyDescent="0.2">
      <c r="A167" s="16"/>
      <c r="B167" s="16"/>
      <c r="C167" s="16"/>
      <c r="D167" s="16"/>
      <c r="E167" s="17"/>
      <c r="F167" s="22" t="s">
        <v>317</v>
      </c>
      <c r="G167" s="34"/>
      <c r="H167" s="35"/>
      <c r="I167" s="34"/>
      <c r="J167" s="46"/>
    </row>
    <row r="168" spans="1:10" s="58" customFormat="1" ht="30" x14ac:dyDescent="0.2">
      <c r="A168" s="16"/>
      <c r="B168" s="16"/>
      <c r="C168" s="16"/>
      <c r="D168" s="16"/>
      <c r="E168" s="17"/>
      <c r="F168" s="66" t="s">
        <v>318</v>
      </c>
      <c r="G168" s="34">
        <v>100000</v>
      </c>
      <c r="H168" s="35"/>
      <c r="I168" s="34"/>
      <c r="J168" s="46">
        <v>100000</v>
      </c>
    </row>
    <row r="169" spans="1:10" s="58" customFormat="1" ht="16.5" customHeight="1" x14ac:dyDescent="0.2">
      <c r="A169" s="16"/>
      <c r="B169" s="16"/>
      <c r="C169" s="16"/>
      <c r="D169" s="16"/>
      <c r="E169" s="17"/>
      <c r="F169" s="22" t="s">
        <v>319</v>
      </c>
      <c r="G169" s="34"/>
      <c r="H169" s="35"/>
      <c r="I169" s="34"/>
      <c r="J169" s="46"/>
    </row>
    <row r="170" spans="1:10" s="58" customFormat="1" ht="33.75" customHeight="1" x14ac:dyDescent="0.2">
      <c r="A170" s="16"/>
      <c r="B170" s="16"/>
      <c r="C170" s="16"/>
      <c r="D170" s="16"/>
      <c r="E170" s="17"/>
      <c r="F170" s="18" t="s">
        <v>320</v>
      </c>
      <c r="G170" s="34">
        <v>17271075</v>
      </c>
      <c r="H170" s="35">
        <v>98.8</v>
      </c>
      <c r="I170" s="34">
        <v>17071075</v>
      </c>
      <c r="J170" s="46">
        <v>200000</v>
      </c>
    </row>
    <row r="171" spans="1:10" s="58" customFormat="1" ht="15" x14ac:dyDescent="0.2">
      <c r="A171" s="16"/>
      <c r="B171" s="16"/>
      <c r="C171" s="16"/>
      <c r="D171" s="16"/>
      <c r="E171" s="17"/>
      <c r="F171" s="22" t="s">
        <v>321</v>
      </c>
      <c r="G171" s="34"/>
      <c r="H171" s="35"/>
      <c r="I171" s="34"/>
      <c r="J171" s="46"/>
    </row>
    <row r="172" spans="1:10" s="58" customFormat="1" ht="45" customHeight="1" x14ac:dyDescent="0.2">
      <c r="A172" s="16"/>
      <c r="B172" s="16"/>
      <c r="C172" s="16"/>
      <c r="D172" s="16"/>
      <c r="E172" s="17"/>
      <c r="F172" s="18" t="s">
        <v>322</v>
      </c>
      <c r="G172" s="34">
        <v>200000</v>
      </c>
      <c r="H172" s="35">
        <v>0</v>
      </c>
      <c r="I172" s="34">
        <v>0</v>
      </c>
      <c r="J172" s="46">
        <v>200000</v>
      </c>
    </row>
    <row r="173" spans="1:10" s="60" customFormat="1" ht="15" x14ac:dyDescent="0.2">
      <c r="A173" s="20"/>
      <c r="B173" s="20"/>
      <c r="C173" s="20"/>
      <c r="D173" s="20"/>
      <c r="E173" s="21"/>
      <c r="F173" s="22" t="s">
        <v>323</v>
      </c>
      <c r="G173" s="38"/>
      <c r="H173" s="39"/>
      <c r="I173" s="38"/>
      <c r="J173" s="47"/>
    </row>
    <row r="174" spans="1:10" s="58" customFormat="1" ht="45" customHeight="1" x14ac:dyDescent="0.2">
      <c r="A174" s="16"/>
      <c r="B174" s="16"/>
      <c r="C174" s="16"/>
      <c r="D174" s="16"/>
      <c r="E174" s="17"/>
      <c r="F174" s="17" t="s">
        <v>324</v>
      </c>
      <c r="G174" s="34">
        <v>486180</v>
      </c>
      <c r="H174" s="35">
        <v>17.7</v>
      </c>
      <c r="I174" s="34">
        <v>86180</v>
      </c>
      <c r="J174" s="46">
        <v>400000</v>
      </c>
    </row>
    <row r="175" spans="1:10" s="58" customFormat="1" ht="15" x14ac:dyDescent="0.2">
      <c r="A175" s="16"/>
      <c r="B175" s="16"/>
      <c r="C175" s="16"/>
      <c r="D175" s="16"/>
      <c r="E175" s="17"/>
      <c r="F175" s="22" t="s">
        <v>325</v>
      </c>
      <c r="G175" s="34"/>
      <c r="H175" s="35"/>
      <c r="I175" s="34"/>
      <c r="J175" s="46"/>
    </row>
    <row r="176" spans="1:10" s="58" customFormat="1" ht="45" customHeight="1" x14ac:dyDescent="0.2">
      <c r="A176" s="16"/>
      <c r="B176" s="16"/>
      <c r="C176" s="16"/>
      <c r="D176" s="16"/>
      <c r="E176" s="17"/>
      <c r="F176" s="66" t="s">
        <v>326</v>
      </c>
      <c r="G176" s="34">
        <v>100000</v>
      </c>
      <c r="H176" s="35"/>
      <c r="I176" s="34"/>
      <c r="J176" s="46">
        <v>100000</v>
      </c>
    </row>
    <row r="177" spans="1:11" s="58" customFormat="1" ht="15" x14ac:dyDescent="0.2">
      <c r="A177" s="16" t="s">
        <v>327</v>
      </c>
      <c r="B177" s="16" t="s">
        <v>328</v>
      </c>
      <c r="C177" s="16"/>
      <c r="D177" s="16" t="s">
        <v>292</v>
      </c>
      <c r="E177" s="17" t="s">
        <v>329</v>
      </c>
      <c r="F177" s="18" t="s">
        <v>23</v>
      </c>
      <c r="G177" s="34"/>
      <c r="H177" s="35"/>
      <c r="I177" s="34"/>
      <c r="J177" s="46">
        <v>354388</v>
      </c>
    </row>
    <row r="178" spans="1:11" s="58" customFormat="1" ht="45" x14ac:dyDescent="0.2">
      <c r="A178" s="16" t="s">
        <v>330</v>
      </c>
      <c r="B178" s="16" t="s">
        <v>331</v>
      </c>
      <c r="C178" s="16"/>
      <c r="D178" s="16" t="s">
        <v>292</v>
      </c>
      <c r="E178" s="17" t="s">
        <v>332</v>
      </c>
      <c r="F178" s="18" t="s">
        <v>23</v>
      </c>
      <c r="G178" s="34"/>
      <c r="H178" s="35"/>
      <c r="I178" s="34"/>
      <c r="J178" s="46">
        <v>1500000</v>
      </c>
    </row>
    <row r="179" spans="1:11" s="58" customFormat="1" ht="30" customHeight="1" x14ac:dyDescent="0.2">
      <c r="A179" s="16" t="s">
        <v>333</v>
      </c>
      <c r="B179" s="16" t="s">
        <v>103</v>
      </c>
      <c r="C179" s="16" t="s">
        <v>104</v>
      </c>
      <c r="D179" s="16" t="s">
        <v>31</v>
      </c>
      <c r="E179" s="17" t="s">
        <v>334</v>
      </c>
      <c r="F179" s="18"/>
      <c r="G179" s="34"/>
      <c r="H179" s="35"/>
      <c r="I179" s="34"/>
      <c r="J179" s="46">
        <f>J181+J188+J191+J192+J195+J198+J201+J204+J206+J208+J211+J213+J215+J219+J221+J223+J224+J225+J226+J228+J230+J235+J236+J239+J241+J243+J245+J247+J252+J257+J264+J267+J271+J273+J275+J276+J278+J217+J218+J232+J254+J262+J280+J184+J260+J186+J282+J269+J249</f>
        <v>235892389</v>
      </c>
      <c r="K179" s="112"/>
    </row>
    <row r="180" spans="1:11" s="58" customFormat="1" ht="15" x14ac:dyDescent="0.2">
      <c r="A180" s="16"/>
      <c r="B180" s="16"/>
      <c r="C180" s="16"/>
      <c r="D180" s="16"/>
      <c r="E180" s="17" t="s">
        <v>43</v>
      </c>
      <c r="F180" s="18"/>
      <c r="G180" s="34"/>
      <c r="H180" s="35"/>
      <c r="I180" s="34"/>
      <c r="J180" s="46"/>
      <c r="K180" s="61"/>
    </row>
    <row r="181" spans="1:11" s="58" customFormat="1" ht="33.75" customHeight="1" x14ac:dyDescent="0.2">
      <c r="A181" s="16"/>
      <c r="B181" s="16"/>
      <c r="C181" s="16"/>
      <c r="D181" s="16"/>
      <c r="E181" s="17"/>
      <c r="F181" s="18" t="s">
        <v>335</v>
      </c>
      <c r="G181" s="34">
        <v>40966915</v>
      </c>
      <c r="H181" s="35">
        <v>45.8</v>
      </c>
      <c r="I181" s="34">
        <v>18780626</v>
      </c>
      <c r="J181" s="46">
        <f>18000000+4000000</f>
        <v>22000000</v>
      </c>
      <c r="K181" s="61"/>
    </row>
    <row r="182" spans="1:11" s="60" customFormat="1" ht="15" x14ac:dyDescent="0.2">
      <c r="A182" s="20"/>
      <c r="B182" s="20"/>
      <c r="C182" s="20"/>
      <c r="D182" s="20"/>
      <c r="E182" s="21"/>
      <c r="F182" s="67" t="s">
        <v>232</v>
      </c>
      <c r="G182" s="38"/>
      <c r="H182" s="39"/>
      <c r="I182" s="38"/>
      <c r="J182" s="47">
        <f>7900000+4000000</f>
        <v>11900000</v>
      </c>
      <c r="K182" s="62"/>
    </row>
    <row r="183" spans="1:11" s="58" customFormat="1" ht="15" x14ac:dyDescent="0.2">
      <c r="A183" s="16"/>
      <c r="B183" s="16"/>
      <c r="C183" s="16"/>
      <c r="D183" s="16"/>
      <c r="E183" s="17"/>
      <c r="F183" s="22" t="s">
        <v>299</v>
      </c>
      <c r="G183" s="34"/>
      <c r="H183" s="35"/>
      <c r="I183" s="34"/>
      <c r="J183" s="46"/>
      <c r="K183" s="61"/>
    </row>
    <row r="184" spans="1:11" s="58" customFormat="1" ht="32.25" customHeight="1" x14ac:dyDescent="0.2">
      <c r="A184" s="16"/>
      <c r="B184" s="16"/>
      <c r="C184" s="16"/>
      <c r="D184" s="16"/>
      <c r="E184" s="17"/>
      <c r="F184" s="66" t="s">
        <v>336</v>
      </c>
      <c r="G184" s="34">
        <v>100000</v>
      </c>
      <c r="H184" s="35"/>
      <c r="I184" s="34"/>
      <c r="J184" s="46">
        <v>100000</v>
      </c>
      <c r="K184" s="61"/>
    </row>
    <row r="185" spans="1:11" s="58" customFormat="1" ht="15" x14ac:dyDescent="0.2">
      <c r="A185" s="16"/>
      <c r="B185" s="16"/>
      <c r="C185" s="16"/>
      <c r="D185" s="16"/>
      <c r="E185" s="17"/>
      <c r="F185" s="22" t="s">
        <v>337</v>
      </c>
      <c r="G185" s="34"/>
      <c r="H185" s="35"/>
      <c r="I185" s="34"/>
      <c r="J185" s="46"/>
      <c r="K185" s="61"/>
    </row>
    <row r="186" spans="1:11" s="58" customFormat="1" ht="32.25" customHeight="1" x14ac:dyDescent="0.2">
      <c r="A186" s="16"/>
      <c r="B186" s="16"/>
      <c r="C186" s="16"/>
      <c r="D186" s="16"/>
      <c r="E186" s="17"/>
      <c r="F186" s="66" t="s">
        <v>338</v>
      </c>
      <c r="G186" s="34">
        <v>100000</v>
      </c>
      <c r="H186" s="35"/>
      <c r="I186" s="34"/>
      <c r="J186" s="46">
        <v>100000</v>
      </c>
      <c r="K186" s="61"/>
    </row>
    <row r="187" spans="1:11" s="58" customFormat="1" ht="18" customHeight="1" x14ac:dyDescent="0.2">
      <c r="A187" s="16"/>
      <c r="B187" s="16"/>
      <c r="C187" s="16"/>
      <c r="D187" s="16"/>
      <c r="E187" s="17"/>
      <c r="F187" s="22" t="s">
        <v>306</v>
      </c>
      <c r="G187" s="34"/>
      <c r="H187" s="35"/>
      <c r="I187" s="34"/>
      <c r="J187" s="46"/>
      <c r="K187" s="61"/>
    </row>
    <row r="188" spans="1:11" s="58" customFormat="1" ht="30" customHeight="1" x14ac:dyDescent="0.2">
      <c r="A188" s="16"/>
      <c r="B188" s="16"/>
      <c r="C188" s="16"/>
      <c r="D188" s="16"/>
      <c r="E188" s="17"/>
      <c r="F188" s="68" t="s">
        <v>339</v>
      </c>
      <c r="G188" s="34">
        <v>12921754</v>
      </c>
      <c r="H188" s="35">
        <v>3.4</v>
      </c>
      <c r="I188" s="34">
        <v>440000</v>
      </c>
      <c r="J188" s="46">
        <f>263590+3284280-440000</f>
        <v>3107870</v>
      </c>
      <c r="K188" s="61"/>
    </row>
    <row r="189" spans="1:11" s="58" customFormat="1" ht="15" x14ac:dyDescent="0.2">
      <c r="A189" s="16"/>
      <c r="B189" s="16"/>
      <c r="C189" s="16"/>
      <c r="D189" s="16"/>
      <c r="E189" s="17"/>
      <c r="F189" s="67" t="s">
        <v>232</v>
      </c>
      <c r="G189" s="34"/>
      <c r="H189" s="35"/>
      <c r="I189" s="34"/>
      <c r="J189" s="47">
        <f>3284280-440000</f>
        <v>2844280</v>
      </c>
      <c r="K189" s="61"/>
    </row>
    <row r="190" spans="1:11" s="58" customFormat="1" ht="15" x14ac:dyDescent="0.2">
      <c r="A190" s="16"/>
      <c r="B190" s="16"/>
      <c r="C190" s="16"/>
      <c r="D190" s="16"/>
      <c r="E190" s="17"/>
      <c r="F190" s="22" t="s">
        <v>340</v>
      </c>
      <c r="G190" s="34"/>
      <c r="H190" s="35"/>
      <c r="I190" s="34"/>
      <c r="J190" s="46"/>
      <c r="K190" s="61"/>
    </row>
    <row r="191" spans="1:11" s="58" customFormat="1" ht="45" x14ac:dyDescent="0.2">
      <c r="A191" s="16"/>
      <c r="B191" s="16"/>
      <c r="C191" s="16"/>
      <c r="D191" s="16"/>
      <c r="E191" s="17"/>
      <c r="F191" s="18" t="s">
        <v>341</v>
      </c>
      <c r="G191" s="34">
        <v>13621596</v>
      </c>
      <c r="H191" s="35">
        <v>99.3</v>
      </c>
      <c r="I191" s="34">
        <v>13521596</v>
      </c>
      <c r="J191" s="46">
        <v>100000</v>
      </c>
      <c r="K191" s="61"/>
    </row>
    <row r="192" spans="1:11" s="58" customFormat="1" ht="45" x14ac:dyDescent="0.2">
      <c r="A192" s="16"/>
      <c r="B192" s="16"/>
      <c r="C192" s="16"/>
      <c r="D192" s="16"/>
      <c r="E192" s="17"/>
      <c r="F192" s="18" t="s">
        <v>342</v>
      </c>
      <c r="G192" s="34">
        <v>12124166</v>
      </c>
      <c r="H192" s="35">
        <v>15.9</v>
      </c>
      <c r="I192" s="34">
        <v>1929888</v>
      </c>
      <c r="J192" s="46">
        <f>6250000-1091000+4413278+622000</f>
        <v>10194278</v>
      </c>
      <c r="K192" s="61"/>
    </row>
    <row r="193" spans="1:11" s="60" customFormat="1" ht="15" x14ac:dyDescent="0.2">
      <c r="A193" s="20"/>
      <c r="B193" s="20"/>
      <c r="C193" s="20"/>
      <c r="D193" s="20"/>
      <c r="E193" s="21"/>
      <c r="F193" s="67" t="s">
        <v>232</v>
      </c>
      <c r="G193" s="38"/>
      <c r="H193" s="39"/>
      <c r="I193" s="38"/>
      <c r="J193" s="47">
        <v>6000000</v>
      </c>
      <c r="K193" s="62"/>
    </row>
    <row r="194" spans="1:11" s="58" customFormat="1" ht="15" x14ac:dyDescent="0.2">
      <c r="A194" s="16"/>
      <c r="B194" s="16"/>
      <c r="C194" s="16"/>
      <c r="D194" s="16"/>
      <c r="E194" s="17"/>
      <c r="F194" s="22" t="s">
        <v>311</v>
      </c>
      <c r="G194" s="34"/>
      <c r="H194" s="35"/>
      <c r="I194" s="34"/>
      <c r="J194" s="46"/>
      <c r="K194" s="61"/>
    </row>
    <row r="195" spans="1:11" s="58" customFormat="1" ht="38.25" customHeight="1" x14ac:dyDescent="0.2">
      <c r="A195" s="16"/>
      <c r="B195" s="16"/>
      <c r="C195" s="16"/>
      <c r="D195" s="16"/>
      <c r="E195" s="17"/>
      <c r="F195" s="18" t="s">
        <v>343</v>
      </c>
      <c r="G195" s="34">
        <v>10348894</v>
      </c>
      <c r="H195" s="35">
        <v>1.8</v>
      </c>
      <c r="I195" s="34">
        <v>188894</v>
      </c>
      <c r="J195" s="46">
        <f>7560000+2600000</f>
        <v>10160000</v>
      </c>
      <c r="K195" s="61"/>
    </row>
    <row r="196" spans="1:11" s="60" customFormat="1" ht="15" x14ac:dyDescent="0.2">
      <c r="A196" s="20"/>
      <c r="B196" s="20"/>
      <c r="C196" s="20"/>
      <c r="D196" s="20"/>
      <c r="E196" s="21"/>
      <c r="F196" s="67" t="s">
        <v>232</v>
      </c>
      <c r="G196" s="38"/>
      <c r="H196" s="39"/>
      <c r="I196" s="38"/>
      <c r="J196" s="47">
        <v>2700000</v>
      </c>
      <c r="K196" s="62"/>
    </row>
    <row r="197" spans="1:11" s="60" customFormat="1" ht="15" x14ac:dyDescent="0.2">
      <c r="A197" s="20"/>
      <c r="B197" s="20"/>
      <c r="C197" s="20"/>
      <c r="D197" s="20"/>
      <c r="E197" s="21"/>
      <c r="F197" s="22" t="s">
        <v>344</v>
      </c>
      <c r="G197" s="38"/>
      <c r="H197" s="39"/>
      <c r="I197" s="38"/>
      <c r="J197" s="47"/>
      <c r="K197" s="62"/>
    </row>
    <row r="198" spans="1:11" s="60" customFormat="1" ht="37.5" customHeight="1" x14ac:dyDescent="0.2">
      <c r="A198" s="20"/>
      <c r="B198" s="20"/>
      <c r="C198" s="20"/>
      <c r="D198" s="20"/>
      <c r="E198" s="21"/>
      <c r="F198" s="18" t="s">
        <v>345</v>
      </c>
      <c r="G198" s="34">
        <v>17726067</v>
      </c>
      <c r="H198" s="35"/>
      <c r="I198" s="34"/>
      <c r="J198" s="46">
        <v>132591</v>
      </c>
      <c r="K198" s="62"/>
    </row>
    <row r="199" spans="1:11" s="60" customFormat="1" ht="20.25" customHeight="1" x14ac:dyDescent="0.2">
      <c r="A199" s="20"/>
      <c r="B199" s="20"/>
      <c r="C199" s="20"/>
      <c r="D199" s="20"/>
      <c r="E199" s="21"/>
      <c r="F199" s="18" t="s">
        <v>286</v>
      </c>
      <c r="G199" s="34"/>
      <c r="H199" s="35"/>
      <c r="I199" s="34"/>
      <c r="J199" s="46">
        <v>132591</v>
      </c>
      <c r="K199" s="62"/>
    </row>
    <row r="200" spans="1:11" s="60" customFormat="1" ht="20.25" customHeight="1" x14ac:dyDescent="0.2">
      <c r="A200" s="20"/>
      <c r="B200" s="20"/>
      <c r="C200" s="20"/>
      <c r="D200" s="20"/>
      <c r="E200" s="21"/>
      <c r="F200" s="22" t="s">
        <v>346</v>
      </c>
      <c r="G200" s="38"/>
      <c r="H200" s="39"/>
      <c r="I200" s="38"/>
      <c r="J200" s="47"/>
      <c r="K200" s="62"/>
    </row>
    <row r="201" spans="1:11" s="60" customFormat="1" ht="32.25" customHeight="1" x14ac:dyDescent="0.2">
      <c r="A201" s="20"/>
      <c r="B201" s="20"/>
      <c r="C201" s="20"/>
      <c r="D201" s="20"/>
      <c r="E201" s="21"/>
      <c r="F201" s="18" t="s">
        <v>347</v>
      </c>
      <c r="G201" s="34">
        <v>11184461</v>
      </c>
      <c r="H201" s="35"/>
      <c r="I201" s="34"/>
      <c r="J201" s="46">
        <v>59530</v>
      </c>
      <c r="K201" s="62"/>
    </row>
    <row r="202" spans="1:11" s="60" customFormat="1" ht="24" customHeight="1" x14ac:dyDescent="0.2">
      <c r="A202" s="20"/>
      <c r="B202" s="20"/>
      <c r="C202" s="20"/>
      <c r="D202" s="20"/>
      <c r="E202" s="21"/>
      <c r="F202" s="18" t="s">
        <v>286</v>
      </c>
      <c r="G202" s="34"/>
      <c r="H202" s="35"/>
      <c r="I202" s="34"/>
      <c r="J202" s="46">
        <v>59530</v>
      </c>
      <c r="K202" s="62"/>
    </row>
    <row r="203" spans="1:11" s="60" customFormat="1" ht="24" customHeight="1" x14ac:dyDescent="0.2">
      <c r="A203" s="20"/>
      <c r="B203" s="20"/>
      <c r="C203" s="20"/>
      <c r="D203" s="20"/>
      <c r="E203" s="21"/>
      <c r="F203" s="22" t="s">
        <v>348</v>
      </c>
      <c r="G203" s="38"/>
      <c r="H203" s="39"/>
      <c r="I203" s="38"/>
      <c r="J203" s="47"/>
      <c r="K203" s="62"/>
    </row>
    <row r="204" spans="1:11" s="60" customFormat="1" ht="36" customHeight="1" x14ac:dyDescent="0.2">
      <c r="A204" s="20"/>
      <c r="B204" s="20"/>
      <c r="C204" s="20"/>
      <c r="D204" s="20"/>
      <c r="E204" s="21"/>
      <c r="F204" s="18" t="s">
        <v>349</v>
      </c>
      <c r="G204" s="34">
        <v>3594946</v>
      </c>
      <c r="H204" s="35"/>
      <c r="I204" s="34"/>
      <c r="J204" s="46">
        <v>168101</v>
      </c>
      <c r="K204" s="62"/>
    </row>
    <row r="205" spans="1:11" s="60" customFormat="1" ht="15.75" customHeight="1" x14ac:dyDescent="0.2">
      <c r="A205" s="20"/>
      <c r="B205" s="20"/>
      <c r="C205" s="20"/>
      <c r="D205" s="20"/>
      <c r="E205" s="21"/>
      <c r="F205" s="18" t="s">
        <v>286</v>
      </c>
      <c r="G205" s="34"/>
      <c r="H205" s="35"/>
      <c r="I205" s="34"/>
      <c r="J205" s="46">
        <v>168101</v>
      </c>
      <c r="K205" s="62"/>
    </row>
    <row r="206" spans="1:11" s="60" customFormat="1" ht="43.5" customHeight="1" x14ac:dyDescent="0.2">
      <c r="A206" s="20"/>
      <c r="B206" s="20"/>
      <c r="C206" s="20"/>
      <c r="D206" s="20"/>
      <c r="E206" s="21"/>
      <c r="F206" s="18" t="s">
        <v>350</v>
      </c>
      <c r="G206" s="34">
        <v>9948978</v>
      </c>
      <c r="H206" s="35"/>
      <c r="I206" s="34"/>
      <c r="J206" s="46">
        <v>465117</v>
      </c>
      <c r="K206" s="62"/>
    </row>
    <row r="207" spans="1:11" s="60" customFormat="1" ht="24" customHeight="1" x14ac:dyDescent="0.2">
      <c r="A207" s="20"/>
      <c r="B207" s="20"/>
      <c r="C207" s="20"/>
      <c r="D207" s="20"/>
      <c r="E207" s="21"/>
      <c r="F207" s="18" t="s">
        <v>286</v>
      </c>
      <c r="G207" s="34"/>
      <c r="H207" s="35"/>
      <c r="I207" s="34"/>
      <c r="J207" s="46">
        <v>465117</v>
      </c>
      <c r="K207" s="62"/>
    </row>
    <row r="208" spans="1:11" s="60" customFormat="1" ht="53.25" customHeight="1" x14ac:dyDescent="0.2">
      <c r="A208" s="20"/>
      <c r="B208" s="20"/>
      <c r="C208" s="20"/>
      <c r="D208" s="20"/>
      <c r="E208" s="21"/>
      <c r="F208" s="18" t="s">
        <v>351</v>
      </c>
      <c r="G208" s="34">
        <v>10525456</v>
      </c>
      <c r="H208" s="35"/>
      <c r="I208" s="34"/>
      <c r="J208" s="46">
        <f>414948+2450000</f>
        <v>2864948</v>
      </c>
      <c r="K208" s="62"/>
    </row>
    <row r="209" spans="1:11" s="60" customFormat="1" ht="19.5" customHeight="1" x14ac:dyDescent="0.2">
      <c r="A209" s="20"/>
      <c r="B209" s="20"/>
      <c r="C209" s="20"/>
      <c r="D209" s="20"/>
      <c r="E209" s="21"/>
      <c r="F209" s="18" t="s">
        <v>286</v>
      </c>
      <c r="G209" s="34"/>
      <c r="H209" s="35"/>
      <c r="I209" s="34"/>
      <c r="J209" s="46">
        <v>414948</v>
      </c>
      <c r="K209" s="62"/>
    </row>
    <row r="210" spans="1:11" s="60" customFormat="1" ht="16.5" customHeight="1" x14ac:dyDescent="0.2">
      <c r="A210" s="20"/>
      <c r="B210" s="20"/>
      <c r="C210" s="20"/>
      <c r="D210" s="20"/>
      <c r="E210" s="21"/>
      <c r="F210" s="22" t="s">
        <v>352</v>
      </c>
      <c r="G210" s="34"/>
      <c r="H210" s="35"/>
      <c r="I210" s="34"/>
      <c r="J210" s="46"/>
      <c r="K210" s="62"/>
    </row>
    <row r="211" spans="1:11" s="60" customFormat="1" ht="42" customHeight="1" x14ac:dyDescent="0.2">
      <c r="A211" s="20"/>
      <c r="B211" s="20"/>
      <c r="C211" s="20"/>
      <c r="D211" s="20"/>
      <c r="E211" s="21"/>
      <c r="F211" s="18" t="s">
        <v>353</v>
      </c>
      <c r="G211" s="34">
        <v>5355882</v>
      </c>
      <c r="H211" s="35"/>
      <c r="I211" s="34"/>
      <c r="J211" s="46">
        <v>475588</v>
      </c>
      <c r="K211" s="62"/>
    </row>
    <row r="212" spans="1:11" s="58" customFormat="1" ht="15" x14ac:dyDescent="0.2">
      <c r="A212" s="16"/>
      <c r="B212" s="16"/>
      <c r="C212" s="16"/>
      <c r="D212" s="16"/>
      <c r="E212" s="17"/>
      <c r="F212" s="22" t="s">
        <v>354</v>
      </c>
      <c r="G212" s="34"/>
      <c r="H212" s="35"/>
      <c r="I212" s="34"/>
      <c r="J212" s="46"/>
      <c r="K212" s="61"/>
    </row>
    <row r="213" spans="1:11" s="58" customFormat="1" ht="53.25" customHeight="1" x14ac:dyDescent="0.2">
      <c r="A213" s="16"/>
      <c r="B213" s="16"/>
      <c r="C213" s="16"/>
      <c r="D213" s="16"/>
      <c r="E213" s="17"/>
      <c r="F213" s="18" t="s">
        <v>355</v>
      </c>
      <c r="G213" s="34">
        <v>5671387</v>
      </c>
      <c r="H213" s="35">
        <v>97</v>
      </c>
      <c r="I213" s="34">
        <v>5500000</v>
      </c>
      <c r="J213" s="46">
        <f>5671387-200000-5300000</f>
        <v>171387</v>
      </c>
      <c r="K213" s="61"/>
    </row>
    <row r="214" spans="1:11" s="60" customFormat="1" ht="15" x14ac:dyDescent="0.2">
      <c r="A214" s="20"/>
      <c r="B214" s="20"/>
      <c r="C214" s="20"/>
      <c r="D214" s="20"/>
      <c r="E214" s="21"/>
      <c r="F214" s="67" t="s">
        <v>232</v>
      </c>
      <c r="G214" s="38"/>
      <c r="H214" s="39"/>
      <c r="I214" s="38"/>
      <c r="J214" s="47">
        <f>5300000-5300000</f>
        <v>0</v>
      </c>
      <c r="K214" s="62"/>
    </row>
    <row r="215" spans="1:11" s="58" customFormat="1" ht="45" x14ac:dyDescent="0.2">
      <c r="A215" s="16"/>
      <c r="B215" s="16"/>
      <c r="C215" s="16"/>
      <c r="D215" s="16"/>
      <c r="E215" s="17"/>
      <c r="F215" s="18" t="s">
        <v>356</v>
      </c>
      <c r="G215" s="34">
        <v>28465802</v>
      </c>
      <c r="H215" s="35">
        <v>4.5</v>
      </c>
      <c r="I215" s="34">
        <v>1285468</v>
      </c>
      <c r="J215" s="46">
        <f>15465000+3050000-585000-700000</f>
        <v>17230000</v>
      </c>
      <c r="K215" s="61"/>
    </row>
    <row r="216" spans="1:11" s="60" customFormat="1" ht="15" x14ac:dyDescent="0.2">
      <c r="A216" s="20"/>
      <c r="B216" s="20"/>
      <c r="C216" s="20"/>
      <c r="D216" s="20"/>
      <c r="E216" s="21"/>
      <c r="F216" s="67" t="s">
        <v>232</v>
      </c>
      <c r="G216" s="38"/>
      <c r="H216" s="39"/>
      <c r="I216" s="38"/>
      <c r="J216" s="47">
        <v>7900000</v>
      </c>
      <c r="K216" s="62"/>
    </row>
    <row r="217" spans="1:11" s="58" customFormat="1" ht="27" customHeight="1" x14ac:dyDescent="0.2">
      <c r="A217" s="16"/>
      <c r="B217" s="16"/>
      <c r="C217" s="16"/>
      <c r="D217" s="16"/>
      <c r="E217" s="17"/>
      <c r="F217" s="18" t="s">
        <v>357</v>
      </c>
      <c r="G217" s="34">
        <v>2825305</v>
      </c>
      <c r="H217" s="35">
        <v>0</v>
      </c>
      <c r="I217" s="34">
        <v>0</v>
      </c>
      <c r="J217" s="46">
        <f>50000+2775305</f>
        <v>2825305</v>
      </c>
      <c r="K217" s="61"/>
    </row>
    <row r="218" spans="1:11" s="58" customFormat="1" ht="35.25" customHeight="1" x14ac:dyDescent="0.2">
      <c r="A218" s="16"/>
      <c r="B218" s="16"/>
      <c r="C218" s="16"/>
      <c r="D218" s="16"/>
      <c r="E218" s="17"/>
      <c r="F218" s="18" t="s">
        <v>358</v>
      </c>
      <c r="G218" s="34">
        <v>2986766</v>
      </c>
      <c r="H218" s="35">
        <v>28.3</v>
      </c>
      <c r="I218" s="34">
        <v>843766</v>
      </c>
      <c r="J218" s="46">
        <f>450000+2050000-357000</f>
        <v>2143000</v>
      </c>
      <c r="K218" s="61"/>
    </row>
    <row r="219" spans="1:11" s="58" customFormat="1" ht="57" customHeight="1" x14ac:dyDescent="0.2">
      <c r="A219" s="16"/>
      <c r="B219" s="16"/>
      <c r="C219" s="16"/>
      <c r="D219" s="16"/>
      <c r="E219" s="17"/>
      <c r="F219" s="18" t="s">
        <v>359</v>
      </c>
      <c r="G219" s="34">
        <v>386434</v>
      </c>
      <c r="H219" s="35"/>
      <c r="I219" s="34"/>
      <c r="J219" s="46">
        <v>17848</v>
      </c>
      <c r="K219" s="61"/>
    </row>
    <row r="220" spans="1:11" s="58" customFormat="1" ht="24" customHeight="1" x14ac:dyDescent="0.2">
      <c r="A220" s="16"/>
      <c r="B220" s="16"/>
      <c r="C220" s="16"/>
      <c r="D220" s="16"/>
      <c r="E220" s="17"/>
      <c r="F220" s="18" t="s">
        <v>286</v>
      </c>
      <c r="G220" s="34"/>
      <c r="H220" s="35"/>
      <c r="I220" s="34"/>
      <c r="J220" s="46">
        <v>17848</v>
      </c>
      <c r="K220" s="61"/>
    </row>
    <row r="221" spans="1:11" s="58" customFormat="1" ht="45.75" customHeight="1" x14ac:dyDescent="0.2">
      <c r="A221" s="16"/>
      <c r="B221" s="16"/>
      <c r="C221" s="16"/>
      <c r="D221" s="16"/>
      <c r="E221" s="17"/>
      <c r="F221" s="18" t="s">
        <v>360</v>
      </c>
      <c r="G221" s="34">
        <v>7214858</v>
      </c>
      <c r="H221" s="35"/>
      <c r="I221" s="34"/>
      <c r="J221" s="46">
        <v>336294</v>
      </c>
      <c r="K221" s="61"/>
    </row>
    <row r="222" spans="1:11" s="58" customFormat="1" ht="21" customHeight="1" x14ac:dyDescent="0.2">
      <c r="A222" s="16"/>
      <c r="B222" s="16"/>
      <c r="C222" s="16"/>
      <c r="D222" s="16"/>
      <c r="E222" s="17"/>
      <c r="F222" s="18" t="s">
        <v>286</v>
      </c>
      <c r="G222" s="34"/>
      <c r="H222" s="35"/>
      <c r="I222" s="34"/>
      <c r="J222" s="46">
        <v>336294</v>
      </c>
      <c r="K222" s="61"/>
    </row>
    <row r="223" spans="1:11" s="58" customFormat="1" ht="50.25" customHeight="1" x14ac:dyDescent="0.2">
      <c r="A223" s="16"/>
      <c r="B223" s="16"/>
      <c r="C223" s="16"/>
      <c r="D223" s="16"/>
      <c r="E223" s="17"/>
      <c r="F223" s="18" t="s">
        <v>361</v>
      </c>
      <c r="G223" s="34">
        <v>1497511</v>
      </c>
      <c r="H223" s="35">
        <v>3</v>
      </c>
      <c r="I223" s="34">
        <v>45144</v>
      </c>
      <c r="J223" s="46">
        <v>1452367</v>
      </c>
      <c r="K223" s="61"/>
    </row>
    <row r="224" spans="1:11" s="58" customFormat="1" ht="50.25" customHeight="1" x14ac:dyDescent="0.2">
      <c r="A224" s="16"/>
      <c r="B224" s="16"/>
      <c r="C224" s="16"/>
      <c r="D224" s="16"/>
      <c r="E224" s="17"/>
      <c r="F224" s="17" t="s">
        <v>362</v>
      </c>
      <c r="G224" s="34">
        <v>1282139</v>
      </c>
      <c r="H224" s="35">
        <v>2.8</v>
      </c>
      <c r="I224" s="34">
        <v>35274</v>
      </c>
      <c r="J224" s="46">
        <v>1259993</v>
      </c>
      <c r="K224" s="61"/>
    </row>
    <row r="225" spans="1:11" s="58" customFormat="1" ht="50.25" customHeight="1" x14ac:dyDescent="0.2">
      <c r="A225" s="16"/>
      <c r="B225" s="16"/>
      <c r="C225" s="16"/>
      <c r="D225" s="16"/>
      <c r="E225" s="17"/>
      <c r="F225" s="17" t="s">
        <v>363</v>
      </c>
      <c r="G225" s="34">
        <v>1047941</v>
      </c>
      <c r="H225" s="35">
        <v>3.7</v>
      </c>
      <c r="I225" s="34">
        <v>38256</v>
      </c>
      <c r="J225" s="46">
        <v>1022813</v>
      </c>
      <c r="K225" s="61"/>
    </row>
    <row r="226" spans="1:11" s="58" customFormat="1" ht="50.25" customHeight="1" x14ac:dyDescent="0.2">
      <c r="A226" s="16"/>
      <c r="B226" s="16"/>
      <c r="C226" s="16"/>
      <c r="D226" s="16"/>
      <c r="E226" s="17"/>
      <c r="F226" s="17" t="s">
        <v>364</v>
      </c>
      <c r="G226" s="34">
        <v>1499118</v>
      </c>
      <c r="H226" s="35">
        <v>49</v>
      </c>
      <c r="I226" s="34">
        <v>734291</v>
      </c>
      <c r="J226" s="46">
        <v>764827</v>
      </c>
      <c r="K226" s="61"/>
    </row>
    <row r="227" spans="1:11" s="60" customFormat="1" ht="21" customHeight="1" x14ac:dyDescent="0.2">
      <c r="A227" s="20"/>
      <c r="B227" s="20"/>
      <c r="C227" s="20"/>
      <c r="D227" s="20"/>
      <c r="E227" s="21"/>
      <c r="F227" s="22" t="s">
        <v>365</v>
      </c>
      <c r="G227" s="38"/>
      <c r="H227" s="39"/>
      <c r="I227" s="38"/>
      <c r="J227" s="47"/>
      <c r="K227" s="62"/>
    </row>
    <row r="228" spans="1:11" s="60" customFormat="1" ht="40.5" customHeight="1" x14ac:dyDescent="0.2">
      <c r="A228" s="20"/>
      <c r="B228" s="20"/>
      <c r="C228" s="20"/>
      <c r="D228" s="20"/>
      <c r="E228" s="21"/>
      <c r="F228" s="18" t="s">
        <v>366</v>
      </c>
      <c r="G228" s="34">
        <v>1495297</v>
      </c>
      <c r="H228" s="35"/>
      <c r="I228" s="34"/>
      <c r="J228" s="46">
        <v>13128</v>
      </c>
      <c r="K228" s="62"/>
    </row>
    <row r="229" spans="1:11" s="60" customFormat="1" ht="26.25" customHeight="1" x14ac:dyDescent="0.2">
      <c r="A229" s="20"/>
      <c r="B229" s="20"/>
      <c r="C229" s="20"/>
      <c r="D229" s="20"/>
      <c r="E229" s="21"/>
      <c r="F229" s="18" t="s">
        <v>286</v>
      </c>
      <c r="G229" s="34"/>
      <c r="H229" s="35"/>
      <c r="I229" s="34"/>
      <c r="J229" s="46">
        <v>13128</v>
      </c>
      <c r="K229" s="62"/>
    </row>
    <row r="230" spans="1:11" s="60" customFormat="1" ht="36.75" customHeight="1" x14ac:dyDescent="0.2">
      <c r="A230" s="20"/>
      <c r="B230" s="20"/>
      <c r="C230" s="20"/>
      <c r="D230" s="20"/>
      <c r="E230" s="21"/>
      <c r="F230" s="18" t="s">
        <v>367</v>
      </c>
      <c r="G230" s="34">
        <v>13724116</v>
      </c>
      <c r="H230" s="35">
        <v>1.7</v>
      </c>
      <c r="I230" s="34">
        <v>239736</v>
      </c>
      <c r="J230" s="46">
        <f>5297000+250000</f>
        <v>5547000</v>
      </c>
      <c r="K230" s="62"/>
    </row>
    <row r="231" spans="1:11" s="60" customFormat="1" ht="15" x14ac:dyDescent="0.2">
      <c r="A231" s="20"/>
      <c r="B231" s="20"/>
      <c r="C231" s="20"/>
      <c r="D231" s="20"/>
      <c r="E231" s="21"/>
      <c r="F231" s="67" t="s">
        <v>232</v>
      </c>
      <c r="G231" s="38"/>
      <c r="H231" s="39"/>
      <c r="I231" s="38"/>
      <c r="J231" s="47">
        <v>5138000</v>
      </c>
      <c r="K231" s="62"/>
    </row>
    <row r="232" spans="1:11" s="60" customFormat="1" ht="36.75" customHeight="1" x14ac:dyDescent="0.2">
      <c r="A232" s="20"/>
      <c r="B232" s="20"/>
      <c r="C232" s="20"/>
      <c r="D232" s="20"/>
      <c r="E232" s="21"/>
      <c r="F232" s="66" t="s">
        <v>368</v>
      </c>
      <c r="G232" s="91">
        <v>11209930</v>
      </c>
      <c r="H232" s="35">
        <v>0</v>
      </c>
      <c r="I232" s="34">
        <v>0</v>
      </c>
      <c r="J232" s="46">
        <v>3171297</v>
      </c>
      <c r="K232" s="62"/>
    </row>
    <row r="233" spans="1:11" s="60" customFormat="1" ht="15" x14ac:dyDescent="0.2">
      <c r="A233" s="20"/>
      <c r="B233" s="20"/>
      <c r="C233" s="20"/>
      <c r="D233" s="20"/>
      <c r="E233" s="21"/>
      <c r="F233" s="67" t="s">
        <v>232</v>
      </c>
      <c r="G233" s="38"/>
      <c r="H233" s="39"/>
      <c r="I233" s="38"/>
      <c r="J233" s="47">
        <v>3000000</v>
      </c>
      <c r="K233" s="62"/>
    </row>
    <row r="234" spans="1:11" s="58" customFormat="1" ht="15" x14ac:dyDescent="0.2">
      <c r="A234" s="16"/>
      <c r="B234" s="16"/>
      <c r="C234" s="16"/>
      <c r="D234" s="16"/>
      <c r="E234" s="17"/>
      <c r="F234" s="22" t="s">
        <v>369</v>
      </c>
      <c r="G234" s="34"/>
      <c r="H234" s="35"/>
      <c r="I234" s="34"/>
      <c r="J234" s="46"/>
      <c r="K234" s="61"/>
    </row>
    <row r="235" spans="1:11" s="58" customFormat="1" ht="45" x14ac:dyDescent="0.2">
      <c r="A235" s="16"/>
      <c r="B235" s="16"/>
      <c r="C235" s="16"/>
      <c r="D235" s="16"/>
      <c r="E235" s="17"/>
      <c r="F235" s="18" t="s">
        <v>370</v>
      </c>
      <c r="G235" s="34">
        <v>25136831</v>
      </c>
      <c r="H235" s="35">
        <v>4.8</v>
      </c>
      <c r="I235" s="34">
        <v>1215000</v>
      </c>
      <c r="J235" s="46">
        <f>2000000+8264000-1300000+85000</f>
        <v>9049000</v>
      </c>
      <c r="K235" s="61"/>
    </row>
    <row r="236" spans="1:11" s="58" customFormat="1" ht="40.5" customHeight="1" x14ac:dyDescent="0.2">
      <c r="A236" s="16"/>
      <c r="B236" s="16"/>
      <c r="C236" s="16"/>
      <c r="D236" s="16"/>
      <c r="E236" s="17"/>
      <c r="F236" s="18" t="s">
        <v>371</v>
      </c>
      <c r="G236" s="34">
        <v>9079749</v>
      </c>
      <c r="H236" s="35">
        <v>1.8</v>
      </c>
      <c r="I236" s="34">
        <v>159050</v>
      </c>
      <c r="J236" s="46">
        <f>170644+873000+300000</f>
        <v>1343644</v>
      </c>
      <c r="K236" s="61"/>
    </row>
    <row r="237" spans="1:11" s="58" customFormat="1" ht="17.25" customHeight="1" x14ac:dyDescent="0.2">
      <c r="A237" s="16"/>
      <c r="B237" s="16"/>
      <c r="C237" s="16"/>
      <c r="D237" s="16"/>
      <c r="E237" s="17"/>
      <c r="F237" s="18" t="s">
        <v>286</v>
      </c>
      <c r="G237" s="34"/>
      <c r="H237" s="35"/>
      <c r="I237" s="34"/>
      <c r="J237" s="46">
        <v>170644</v>
      </c>
      <c r="K237" s="61"/>
    </row>
    <row r="238" spans="1:11" s="60" customFormat="1" ht="23.25" customHeight="1" x14ac:dyDescent="0.2">
      <c r="A238" s="20"/>
      <c r="B238" s="20"/>
      <c r="C238" s="20"/>
      <c r="D238" s="20"/>
      <c r="E238" s="21"/>
      <c r="F238" s="22" t="s">
        <v>372</v>
      </c>
      <c r="G238" s="38"/>
      <c r="H238" s="39"/>
      <c r="I238" s="38"/>
      <c r="J238" s="47"/>
      <c r="K238" s="62"/>
    </row>
    <row r="239" spans="1:11" s="58" customFormat="1" ht="35.25" customHeight="1" x14ac:dyDescent="0.2">
      <c r="A239" s="16"/>
      <c r="B239" s="16"/>
      <c r="C239" s="16"/>
      <c r="D239" s="16"/>
      <c r="E239" s="17"/>
      <c r="F239" s="18" t="s">
        <v>373</v>
      </c>
      <c r="G239" s="34">
        <v>3540010</v>
      </c>
      <c r="H239" s="35">
        <v>39.1</v>
      </c>
      <c r="I239" s="34">
        <v>1385297</v>
      </c>
      <c r="J239" s="46">
        <f>1300000+2240010-191297-1194000</f>
        <v>2154713</v>
      </c>
      <c r="K239" s="61"/>
    </row>
    <row r="240" spans="1:11" s="60" customFormat="1" ht="23.25" customHeight="1" x14ac:dyDescent="0.2">
      <c r="A240" s="20"/>
      <c r="B240" s="20"/>
      <c r="C240" s="20"/>
      <c r="D240" s="20"/>
      <c r="E240" s="21"/>
      <c r="F240" s="22" t="s">
        <v>374</v>
      </c>
      <c r="G240" s="38"/>
      <c r="H240" s="39"/>
      <c r="I240" s="38"/>
      <c r="J240" s="47"/>
      <c r="K240" s="62"/>
    </row>
    <row r="241" spans="1:11" s="60" customFormat="1" ht="59.25" customHeight="1" x14ac:dyDescent="0.2">
      <c r="A241" s="20"/>
      <c r="B241" s="20"/>
      <c r="C241" s="20"/>
      <c r="D241" s="20"/>
      <c r="E241" s="21"/>
      <c r="F241" s="18" t="s">
        <v>375</v>
      </c>
      <c r="G241" s="34">
        <v>916922</v>
      </c>
      <c r="H241" s="35"/>
      <c r="I241" s="34"/>
      <c r="J241" s="46">
        <v>320447</v>
      </c>
      <c r="K241" s="62"/>
    </row>
    <row r="242" spans="1:11" s="60" customFormat="1" ht="18" customHeight="1" x14ac:dyDescent="0.2">
      <c r="A242" s="20"/>
      <c r="B242" s="20"/>
      <c r="C242" s="20"/>
      <c r="D242" s="20"/>
      <c r="E242" s="21"/>
      <c r="F242" s="18" t="s">
        <v>286</v>
      </c>
      <c r="G242" s="34"/>
      <c r="H242" s="35"/>
      <c r="I242" s="34"/>
      <c r="J242" s="46">
        <v>20447</v>
      </c>
      <c r="K242" s="62"/>
    </row>
    <row r="243" spans="1:11" s="58" customFormat="1" ht="60" x14ac:dyDescent="0.2">
      <c r="A243" s="16"/>
      <c r="B243" s="16"/>
      <c r="C243" s="16"/>
      <c r="D243" s="16"/>
      <c r="E243" s="17"/>
      <c r="F243" s="18" t="s">
        <v>376</v>
      </c>
      <c r="G243" s="34">
        <v>13450049</v>
      </c>
      <c r="H243" s="35">
        <v>0</v>
      </c>
      <c r="I243" s="34">
        <v>1526</v>
      </c>
      <c r="J243" s="46">
        <f>300000+2500000-500000-1000000</f>
        <v>1300000</v>
      </c>
      <c r="K243" s="61"/>
    </row>
    <row r="244" spans="1:11" s="60" customFormat="1" ht="15" x14ac:dyDescent="0.2">
      <c r="A244" s="20"/>
      <c r="B244" s="20"/>
      <c r="C244" s="20"/>
      <c r="D244" s="20"/>
      <c r="E244" s="21"/>
      <c r="F244" s="22" t="s">
        <v>315</v>
      </c>
      <c r="G244" s="38"/>
      <c r="H244" s="39"/>
      <c r="I244" s="38"/>
      <c r="J244" s="47"/>
      <c r="K244" s="62"/>
    </row>
    <row r="245" spans="1:11" s="60" customFormat="1" ht="43.5" customHeight="1" x14ac:dyDescent="0.2">
      <c r="A245" s="20"/>
      <c r="B245" s="20"/>
      <c r="C245" s="20"/>
      <c r="D245" s="20"/>
      <c r="E245" s="21"/>
      <c r="F245" s="18" t="s">
        <v>377</v>
      </c>
      <c r="G245" s="34">
        <v>48634613</v>
      </c>
      <c r="H245" s="35"/>
      <c r="I245" s="34"/>
      <c r="J245" s="46">
        <v>2373448</v>
      </c>
      <c r="K245" s="62"/>
    </row>
    <row r="246" spans="1:11" s="60" customFormat="1" ht="21" customHeight="1" x14ac:dyDescent="0.2">
      <c r="A246" s="20"/>
      <c r="B246" s="20"/>
      <c r="C246" s="20"/>
      <c r="D246" s="20"/>
      <c r="E246" s="21"/>
      <c r="F246" s="18" t="s">
        <v>286</v>
      </c>
      <c r="G246" s="34"/>
      <c r="H246" s="35"/>
      <c r="I246" s="34"/>
      <c r="J246" s="46">
        <v>2373448</v>
      </c>
      <c r="K246" s="62"/>
    </row>
    <row r="247" spans="1:11" s="60" customFormat="1" ht="52.5" customHeight="1" x14ac:dyDescent="0.2">
      <c r="A247" s="20"/>
      <c r="B247" s="20"/>
      <c r="C247" s="20"/>
      <c r="D247" s="20"/>
      <c r="E247" s="21"/>
      <c r="F247" s="18" t="s">
        <v>378</v>
      </c>
      <c r="G247" s="34">
        <v>36316940</v>
      </c>
      <c r="H247" s="35"/>
      <c r="I247" s="34"/>
      <c r="J247" s="46">
        <v>1757744</v>
      </c>
      <c r="K247" s="62"/>
    </row>
    <row r="248" spans="1:11" s="60" customFormat="1" ht="18" customHeight="1" x14ac:dyDescent="0.2">
      <c r="A248" s="20"/>
      <c r="B248" s="20"/>
      <c r="C248" s="20"/>
      <c r="D248" s="20"/>
      <c r="E248" s="21"/>
      <c r="F248" s="18" t="s">
        <v>286</v>
      </c>
      <c r="G248" s="34"/>
      <c r="H248" s="35"/>
      <c r="I248" s="34"/>
      <c r="J248" s="46">
        <v>1757744</v>
      </c>
      <c r="K248" s="62"/>
    </row>
    <row r="249" spans="1:11" s="60" customFormat="1" ht="38.25" customHeight="1" x14ac:dyDescent="0.2">
      <c r="A249" s="20"/>
      <c r="B249" s="20"/>
      <c r="C249" s="20"/>
      <c r="D249" s="20"/>
      <c r="E249" s="21"/>
      <c r="F249" s="18" t="s">
        <v>379</v>
      </c>
      <c r="G249" s="34">
        <v>30997704</v>
      </c>
      <c r="H249" s="35">
        <v>4</v>
      </c>
      <c r="I249" s="34">
        <v>1248333</v>
      </c>
      <c r="J249" s="46">
        <v>29749371</v>
      </c>
      <c r="K249" s="62"/>
    </row>
    <row r="250" spans="1:11" s="60" customFormat="1" ht="16.5" customHeight="1" x14ac:dyDescent="0.2">
      <c r="A250" s="20"/>
      <c r="B250" s="20"/>
      <c r="C250" s="20"/>
      <c r="D250" s="20"/>
      <c r="E250" s="21"/>
      <c r="F250" s="67" t="s">
        <v>232</v>
      </c>
      <c r="G250" s="34"/>
      <c r="H250" s="35"/>
      <c r="I250" s="34"/>
      <c r="J250" s="46">
        <v>28849440</v>
      </c>
      <c r="K250" s="62"/>
    </row>
    <row r="251" spans="1:11" s="58" customFormat="1" ht="15" x14ac:dyDescent="0.2">
      <c r="A251" s="16"/>
      <c r="B251" s="16"/>
      <c r="C251" s="16"/>
      <c r="D251" s="16"/>
      <c r="E251" s="17"/>
      <c r="F251" s="22" t="s">
        <v>380</v>
      </c>
      <c r="G251" s="34"/>
      <c r="H251" s="35"/>
      <c r="I251" s="34"/>
      <c r="J251" s="46"/>
      <c r="K251" s="61"/>
    </row>
    <row r="252" spans="1:11" s="58" customFormat="1" ht="45" x14ac:dyDescent="0.2">
      <c r="A252" s="16"/>
      <c r="B252" s="16"/>
      <c r="C252" s="16"/>
      <c r="D252" s="16"/>
      <c r="E252" s="17"/>
      <c r="F252" s="18" t="s">
        <v>381</v>
      </c>
      <c r="G252" s="34">
        <v>10110347</v>
      </c>
      <c r="H252" s="35">
        <v>34.4</v>
      </c>
      <c r="I252" s="34">
        <v>3482000</v>
      </c>
      <c r="J252" s="46">
        <f>3700000-3600000+118000</f>
        <v>218000</v>
      </c>
      <c r="K252" s="61"/>
    </row>
    <row r="253" spans="1:11" s="58" customFormat="1" ht="15" x14ac:dyDescent="0.2">
      <c r="A253" s="16"/>
      <c r="B253" s="16"/>
      <c r="C253" s="16"/>
      <c r="D253" s="16"/>
      <c r="E253" s="17"/>
      <c r="F253" s="22" t="s">
        <v>382</v>
      </c>
      <c r="G253" s="34"/>
      <c r="H253" s="35"/>
      <c r="I253" s="34"/>
      <c r="J253" s="46"/>
      <c r="K253" s="61"/>
    </row>
    <row r="254" spans="1:11" s="58" customFormat="1" ht="45" x14ac:dyDescent="0.2">
      <c r="A254" s="16"/>
      <c r="B254" s="16"/>
      <c r="C254" s="16"/>
      <c r="D254" s="16"/>
      <c r="E254" s="17"/>
      <c r="F254" s="18" t="s">
        <v>383</v>
      </c>
      <c r="G254" s="34">
        <v>59399831</v>
      </c>
      <c r="H254" s="35">
        <v>62.3</v>
      </c>
      <c r="I254" s="34">
        <v>36993065</v>
      </c>
      <c r="J254" s="46">
        <f>7500000+86000</f>
        <v>7586000</v>
      </c>
      <c r="K254" s="61"/>
    </row>
    <row r="255" spans="1:11" s="60" customFormat="1" ht="15" x14ac:dyDescent="0.2">
      <c r="A255" s="20"/>
      <c r="B255" s="20"/>
      <c r="C255" s="20"/>
      <c r="D255" s="20"/>
      <c r="E255" s="21"/>
      <c r="F255" s="67" t="s">
        <v>232</v>
      </c>
      <c r="G255" s="38"/>
      <c r="H255" s="39"/>
      <c r="I255" s="38"/>
      <c r="J255" s="47">
        <f>5300000+86000</f>
        <v>5386000</v>
      </c>
      <c r="K255" s="62"/>
    </row>
    <row r="256" spans="1:11" s="60" customFormat="1" ht="15" x14ac:dyDescent="0.2">
      <c r="A256" s="20"/>
      <c r="B256" s="20"/>
      <c r="C256" s="20"/>
      <c r="D256" s="20"/>
      <c r="E256" s="21"/>
      <c r="F256" s="22" t="s">
        <v>323</v>
      </c>
      <c r="G256" s="38"/>
      <c r="H256" s="39"/>
      <c r="I256" s="38"/>
      <c r="J256" s="47"/>
      <c r="K256" s="62"/>
    </row>
    <row r="257" spans="1:11" s="60" customFormat="1" ht="64.5" customHeight="1" x14ac:dyDescent="0.2">
      <c r="A257" s="20"/>
      <c r="B257" s="20"/>
      <c r="C257" s="20"/>
      <c r="D257" s="20"/>
      <c r="E257" s="21"/>
      <c r="F257" s="18" t="s">
        <v>384</v>
      </c>
      <c r="G257" s="34">
        <v>4841078</v>
      </c>
      <c r="H257" s="35"/>
      <c r="I257" s="34"/>
      <c r="J257" s="46">
        <v>59194</v>
      </c>
      <c r="K257" s="62"/>
    </row>
    <row r="258" spans="1:11" s="60" customFormat="1" ht="20.25" customHeight="1" x14ac:dyDescent="0.2">
      <c r="A258" s="20"/>
      <c r="B258" s="20"/>
      <c r="C258" s="20"/>
      <c r="D258" s="20"/>
      <c r="E258" s="21"/>
      <c r="F258" s="18" t="s">
        <v>286</v>
      </c>
      <c r="G258" s="34"/>
      <c r="H258" s="35"/>
      <c r="I258" s="34"/>
      <c r="J258" s="46">
        <v>59194</v>
      </c>
      <c r="K258" s="62"/>
    </row>
    <row r="259" spans="1:11" s="60" customFormat="1" ht="15" x14ac:dyDescent="0.2">
      <c r="A259" s="20"/>
      <c r="B259" s="20"/>
      <c r="C259" s="20"/>
      <c r="D259" s="20"/>
      <c r="E259" s="21"/>
      <c r="F259" s="22" t="s">
        <v>385</v>
      </c>
      <c r="G259" s="34"/>
      <c r="H259" s="35"/>
      <c r="I259" s="34"/>
      <c r="J259" s="46"/>
      <c r="K259" s="62"/>
    </row>
    <row r="260" spans="1:11" s="60" customFormat="1" ht="32.25" customHeight="1" x14ac:dyDescent="0.2">
      <c r="A260" s="20"/>
      <c r="B260" s="20"/>
      <c r="C260" s="20"/>
      <c r="D260" s="20"/>
      <c r="E260" s="21"/>
      <c r="F260" s="66" t="s">
        <v>386</v>
      </c>
      <c r="G260" s="34">
        <v>100000</v>
      </c>
      <c r="H260" s="35"/>
      <c r="I260" s="34"/>
      <c r="J260" s="46">
        <v>100000</v>
      </c>
      <c r="K260" s="62"/>
    </row>
    <row r="261" spans="1:11" s="60" customFormat="1" ht="20.25" customHeight="1" x14ac:dyDescent="0.2">
      <c r="A261" s="20"/>
      <c r="B261" s="20"/>
      <c r="C261" s="20"/>
      <c r="D261" s="20"/>
      <c r="E261" s="21"/>
      <c r="F261" s="22" t="s">
        <v>319</v>
      </c>
      <c r="G261" s="34"/>
      <c r="H261" s="35"/>
      <c r="I261" s="34"/>
      <c r="J261" s="46"/>
      <c r="K261" s="62"/>
    </row>
    <row r="262" spans="1:11" s="60" customFormat="1" ht="45" x14ac:dyDescent="0.2">
      <c r="A262" s="20"/>
      <c r="B262" s="20"/>
      <c r="C262" s="20"/>
      <c r="D262" s="20"/>
      <c r="E262" s="21"/>
      <c r="F262" s="18" t="s">
        <v>387</v>
      </c>
      <c r="G262" s="34">
        <v>6030000</v>
      </c>
      <c r="H262" s="35">
        <v>98.3</v>
      </c>
      <c r="I262" s="34">
        <v>5930000</v>
      </c>
      <c r="J262" s="46">
        <v>100000</v>
      </c>
      <c r="K262" s="62"/>
    </row>
    <row r="263" spans="1:11" s="60" customFormat="1" ht="20.25" customHeight="1" x14ac:dyDescent="0.2">
      <c r="A263" s="20"/>
      <c r="B263" s="20"/>
      <c r="C263" s="20"/>
      <c r="D263" s="20"/>
      <c r="E263" s="21"/>
      <c r="F263" s="22" t="s">
        <v>388</v>
      </c>
      <c r="G263" s="34"/>
      <c r="H263" s="35"/>
      <c r="I263" s="34"/>
      <c r="J263" s="46"/>
      <c r="K263" s="62"/>
    </row>
    <row r="264" spans="1:11" s="60" customFormat="1" ht="66.75" customHeight="1" x14ac:dyDescent="0.2">
      <c r="A264" s="20"/>
      <c r="B264" s="20"/>
      <c r="C264" s="20"/>
      <c r="D264" s="20"/>
      <c r="E264" s="21"/>
      <c r="F264" s="18" t="s">
        <v>389</v>
      </c>
      <c r="G264" s="34">
        <v>13207664</v>
      </c>
      <c r="H264" s="35">
        <v>11.7</v>
      </c>
      <c r="I264" s="34">
        <v>1546764</v>
      </c>
      <c r="J264" s="46">
        <f>10194000-414000</f>
        <v>9780000</v>
      </c>
      <c r="K264" s="62"/>
    </row>
    <row r="265" spans="1:11" s="60" customFormat="1" ht="15" x14ac:dyDescent="0.2">
      <c r="A265" s="20"/>
      <c r="B265" s="20"/>
      <c r="C265" s="20"/>
      <c r="D265" s="20"/>
      <c r="E265" s="21"/>
      <c r="F265" s="67" t="s">
        <v>232</v>
      </c>
      <c r="G265" s="38"/>
      <c r="H265" s="39"/>
      <c r="I265" s="38"/>
      <c r="J265" s="47">
        <v>5900000</v>
      </c>
      <c r="K265" s="62"/>
    </row>
    <row r="266" spans="1:11" s="60" customFormat="1" ht="14.25" customHeight="1" x14ac:dyDescent="0.2">
      <c r="A266" s="20"/>
      <c r="B266" s="20"/>
      <c r="C266" s="20"/>
      <c r="D266" s="20"/>
      <c r="E266" s="21"/>
      <c r="F266" s="22" t="s">
        <v>321</v>
      </c>
      <c r="G266" s="34"/>
      <c r="H266" s="35"/>
      <c r="I266" s="34"/>
      <c r="J266" s="46"/>
      <c r="K266" s="62"/>
    </row>
    <row r="267" spans="1:11" s="60" customFormat="1" ht="37.5" customHeight="1" x14ac:dyDescent="0.2">
      <c r="A267" s="20"/>
      <c r="B267" s="20"/>
      <c r="C267" s="20"/>
      <c r="D267" s="20"/>
      <c r="E267" s="21"/>
      <c r="F267" s="17" t="s">
        <v>390</v>
      </c>
      <c r="G267" s="34">
        <v>81320250</v>
      </c>
      <c r="H267" s="35">
        <v>73.2</v>
      </c>
      <c r="I267" s="34">
        <v>59557060</v>
      </c>
      <c r="J267" s="46">
        <f>17000000+2500000-4700000+830000</f>
        <v>15630000</v>
      </c>
      <c r="K267" s="62"/>
    </row>
    <row r="268" spans="1:11" s="60" customFormat="1" ht="15" x14ac:dyDescent="0.2">
      <c r="A268" s="20"/>
      <c r="B268" s="20"/>
      <c r="C268" s="20"/>
      <c r="D268" s="20"/>
      <c r="E268" s="21"/>
      <c r="F268" s="67" t="s">
        <v>232</v>
      </c>
      <c r="G268" s="38"/>
      <c r="H268" s="39"/>
      <c r="I268" s="38"/>
      <c r="J268" s="47">
        <f>1163200+830000</f>
        <v>1993200</v>
      </c>
      <c r="K268" s="62"/>
    </row>
    <row r="269" spans="1:11" s="60" customFormat="1" ht="45" x14ac:dyDescent="0.2">
      <c r="A269" s="20"/>
      <c r="B269" s="20"/>
      <c r="C269" s="20"/>
      <c r="D269" s="20"/>
      <c r="E269" s="21"/>
      <c r="F269" s="17" t="s">
        <v>391</v>
      </c>
      <c r="G269" s="34">
        <v>35765388</v>
      </c>
      <c r="H269" s="35">
        <v>18</v>
      </c>
      <c r="I269" s="34">
        <v>6423341</v>
      </c>
      <c r="J269" s="46">
        <f>6200000+648000</f>
        <v>6848000</v>
      </c>
      <c r="K269" s="62"/>
    </row>
    <row r="270" spans="1:11" s="60" customFormat="1" ht="15" x14ac:dyDescent="0.2">
      <c r="A270" s="20"/>
      <c r="B270" s="20"/>
      <c r="C270" s="20"/>
      <c r="D270" s="20"/>
      <c r="E270" s="21"/>
      <c r="F270" s="67" t="s">
        <v>232</v>
      </c>
      <c r="G270" s="38"/>
      <c r="H270" s="39"/>
      <c r="I270" s="38"/>
      <c r="J270" s="47">
        <f>6000000+648000</f>
        <v>6648000</v>
      </c>
      <c r="K270" s="62"/>
    </row>
    <row r="271" spans="1:11" s="60" customFormat="1" ht="41.25" customHeight="1" x14ac:dyDescent="0.2">
      <c r="A271" s="20"/>
      <c r="B271" s="20"/>
      <c r="C271" s="20"/>
      <c r="D271" s="20"/>
      <c r="E271" s="21"/>
      <c r="F271" s="17" t="s">
        <v>392</v>
      </c>
      <c r="G271" s="34">
        <v>32216158</v>
      </c>
      <c r="H271" s="35">
        <v>3.5</v>
      </c>
      <c r="I271" s="34">
        <v>1131081</v>
      </c>
      <c r="J271" s="46">
        <v>7500000</v>
      </c>
      <c r="K271" s="62"/>
    </row>
    <row r="272" spans="1:11" s="60" customFormat="1" ht="15.75" customHeight="1" x14ac:dyDescent="0.2">
      <c r="A272" s="20"/>
      <c r="B272" s="20"/>
      <c r="C272" s="20"/>
      <c r="D272" s="20"/>
      <c r="E272" s="21"/>
      <c r="F272" s="21" t="s">
        <v>393</v>
      </c>
      <c r="G272" s="34"/>
      <c r="H272" s="35"/>
      <c r="I272" s="34"/>
      <c r="J272" s="46"/>
      <c r="K272" s="62"/>
    </row>
    <row r="273" spans="1:11" s="60" customFormat="1" ht="48" customHeight="1" x14ac:dyDescent="0.2">
      <c r="A273" s="20"/>
      <c r="B273" s="20"/>
      <c r="C273" s="20"/>
      <c r="D273" s="20"/>
      <c r="E273" s="21"/>
      <c r="F273" s="17" t="s">
        <v>394</v>
      </c>
      <c r="G273" s="34">
        <v>660687</v>
      </c>
      <c r="H273" s="35"/>
      <c r="I273" s="34"/>
      <c r="J273" s="46">
        <v>255130</v>
      </c>
      <c r="K273" s="62"/>
    </row>
    <row r="274" spans="1:11" s="58" customFormat="1" ht="15" x14ac:dyDescent="0.2">
      <c r="A274" s="16"/>
      <c r="B274" s="16"/>
      <c r="C274" s="16"/>
      <c r="D274" s="16"/>
      <c r="E274" s="17"/>
      <c r="F274" s="22" t="s">
        <v>395</v>
      </c>
      <c r="G274" s="34"/>
      <c r="H274" s="35"/>
      <c r="I274" s="34"/>
      <c r="J274" s="46"/>
      <c r="K274" s="61"/>
    </row>
    <row r="275" spans="1:11" s="58" customFormat="1" ht="30" x14ac:dyDescent="0.2">
      <c r="A275" s="16"/>
      <c r="B275" s="16"/>
      <c r="C275" s="16"/>
      <c r="D275" s="16"/>
      <c r="E275" s="17"/>
      <c r="F275" s="18" t="s">
        <v>396</v>
      </c>
      <c r="G275" s="34">
        <v>14765105</v>
      </c>
      <c r="H275" s="35">
        <v>4.0999999999999996</v>
      </c>
      <c r="I275" s="34">
        <v>600000</v>
      </c>
      <c r="J275" s="46">
        <f>4000000+10765105-400000-200000</f>
        <v>14165105</v>
      </c>
      <c r="K275" s="61"/>
    </row>
    <row r="276" spans="1:11" s="58" customFormat="1" ht="52.5" customHeight="1" x14ac:dyDescent="0.2">
      <c r="A276" s="16"/>
      <c r="B276" s="16"/>
      <c r="C276" s="16"/>
      <c r="D276" s="16"/>
      <c r="E276" s="17"/>
      <c r="F276" s="18" t="s">
        <v>397</v>
      </c>
      <c r="G276" s="34">
        <v>31037233</v>
      </c>
      <c r="H276" s="35"/>
      <c r="I276" s="34"/>
      <c r="J276" s="46">
        <v>1496766</v>
      </c>
      <c r="K276" s="61"/>
    </row>
    <row r="277" spans="1:11" s="58" customFormat="1" ht="25.5" customHeight="1" x14ac:dyDescent="0.2">
      <c r="A277" s="16"/>
      <c r="B277" s="16"/>
      <c r="C277" s="16"/>
      <c r="D277" s="16"/>
      <c r="E277" s="17"/>
      <c r="F277" s="18" t="s">
        <v>286</v>
      </c>
      <c r="G277" s="34"/>
      <c r="H277" s="35"/>
      <c r="I277" s="34"/>
      <c r="J277" s="46">
        <v>1496766</v>
      </c>
      <c r="K277" s="61"/>
    </row>
    <row r="278" spans="1:11" s="58" customFormat="1" ht="37.5" customHeight="1" x14ac:dyDescent="0.2">
      <c r="A278" s="16"/>
      <c r="B278" s="16"/>
      <c r="C278" s="16"/>
      <c r="D278" s="16"/>
      <c r="E278" s="17"/>
      <c r="F278" s="18" t="s">
        <v>398</v>
      </c>
      <c r="G278" s="34">
        <v>25661957</v>
      </c>
      <c r="H278" s="35"/>
      <c r="I278" s="34"/>
      <c r="J278" s="46">
        <v>1241159</v>
      </c>
      <c r="K278" s="61"/>
    </row>
    <row r="279" spans="1:11" s="58" customFormat="1" ht="19.5" customHeight="1" x14ac:dyDescent="0.2">
      <c r="A279" s="16"/>
      <c r="B279" s="16"/>
      <c r="C279" s="16"/>
      <c r="D279" s="16"/>
      <c r="E279" s="17"/>
      <c r="F279" s="18" t="s">
        <v>286</v>
      </c>
      <c r="G279" s="34"/>
      <c r="H279" s="35"/>
      <c r="I279" s="34"/>
      <c r="J279" s="46">
        <v>1241159</v>
      </c>
      <c r="K279" s="61"/>
    </row>
    <row r="280" spans="1:11" s="58" customFormat="1" ht="45" x14ac:dyDescent="0.2">
      <c r="A280" s="16"/>
      <c r="B280" s="16"/>
      <c r="C280" s="16"/>
      <c r="D280" s="16"/>
      <c r="E280" s="17"/>
      <c r="F280" s="18" t="s">
        <v>399</v>
      </c>
      <c r="G280" s="34">
        <v>22376099</v>
      </c>
      <c r="H280" s="35">
        <v>5.7</v>
      </c>
      <c r="I280" s="34">
        <v>1284802</v>
      </c>
      <c r="J280" s="46">
        <f>91297+21000000</f>
        <v>21091297</v>
      </c>
      <c r="K280" s="61"/>
    </row>
    <row r="281" spans="1:11" s="58" customFormat="1" ht="23.25" customHeight="1" x14ac:dyDescent="0.2">
      <c r="A281" s="16"/>
      <c r="B281" s="16"/>
      <c r="C281" s="16"/>
      <c r="D281" s="16"/>
      <c r="E281" s="17"/>
      <c r="F281" s="67" t="s">
        <v>232</v>
      </c>
      <c r="G281" s="91"/>
      <c r="H281" s="35"/>
      <c r="I281" s="91"/>
      <c r="J281" s="47">
        <v>20461297</v>
      </c>
      <c r="K281" s="61"/>
    </row>
    <row r="282" spans="1:11" s="58" customFormat="1" ht="45" x14ac:dyDescent="0.2">
      <c r="A282" s="16"/>
      <c r="B282" s="16"/>
      <c r="C282" s="16"/>
      <c r="D282" s="16"/>
      <c r="E282" s="17"/>
      <c r="F282" s="18" t="s">
        <v>400</v>
      </c>
      <c r="G282" s="34">
        <v>16890089</v>
      </c>
      <c r="H282" s="35">
        <v>5.9</v>
      </c>
      <c r="I282" s="34">
        <v>1000000</v>
      </c>
      <c r="J282" s="46">
        <f>100000+15790089</f>
        <v>15890089</v>
      </c>
      <c r="K282" s="61"/>
    </row>
    <row r="283" spans="1:11" s="58" customFormat="1" ht="24" customHeight="1" x14ac:dyDescent="0.2">
      <c r="A283" s="16"/>
      <c r="B283" s="16"/>
      <c r="C283" s="16"/>
      <c r="D283" s="16"/>
      <c r="E283" s="17"/>
      <c r="F283" s="67" t="s">
        <v>232</v>
      </c>
      <c r="G283" s="91"/>
      <c r="H283" s="35"/>
      <c r="I283" s="91"/>
      <c r="J283" s="47">
        <v>15416386</v>
      </c>
      <c r="K283" s="61"/>
    </row>
    <row r="284" spans="1:11" s="58" customFormat="1" ht="15" x14ac:dyDescent="0.2">
      <c r="A284" s="16" t="s">
        <v>401</v>
      </c>
      <c r="B284" s="16">
        <v>6650</v>
      </c>
      <c r="C284" s="16">
        <v>170703</v>
      </c>
      <c r="D284" s="16" t="s">
        <v>402</v>
      </c>
      <c r="E284" s="17" t="s">
        <v>403</v>
      </c>
      <c r="F284" s="18"/>
      <c r="G284" s="34"/>
      <c r="H284" s="35"/>
      <c r="I284" s="34"/>
      <c r="J284" s="46">
        <f>J286+J291+J309+J307+J305+J294+J295+J296+J297+J298+J299+J300+J301+J302+J303</f>
        <v>885633720</v>
      </c>
    </row>
    <row r="285" spans="1:11" s="58" customFormat="1" ht="15" x14ac:dyDescent="0.2">
      <c r="A285" s="16"/>
      <c r="B285" s="16"/>
      <c r="C285" s="16"/>
      <c r="D285" s="16"/>
      <c r="E285" s="17" t="s">
        <v>43</v>
      </c>
      <c r="F285" s="18"/>
      <c r="G285" s="34"/>
      <c r="H285" s="35"/>
      <c r="I285" s="34"/>
      <c r="J285" s="46"/>
    </row>
    <row r="286" spans="1:11" s="58" customFormat="1" ht="15" x14ac:dyDescent="0.2">
      <c r="A286" s="16"/>
      <c r="B286" s="16"/>
      <c r="C286" s="16"/>
      <c r="D286" s="16"/>
      <c r="E286" s="17"/>
      <c r="F286" s="18" t="s">
        <v>23</v>
      </c>
      <c r="G286" s="34"/>
      <c r="H286" s="35"/>
      <c r="I286" s="34"/>
      <c r="J286" s="46">
        <f>282464700+26734982+140982676-33100000+766851+226646100-3000000+15000000+2763417-5275900+14900000+5759720-350000-63727123-3538721-1500000</f>
        <v>605526702</v>
      </c>
    </row>
    <row r="287" spans="1:11" s="58" customFormat="1" ht="19.5" customHeight="1" x14ac:dyDescent="0.2">
      <c r="A287" s="16"/>
      <c r="B287" s="16"/>
      <c r="C287" s="16"/>
      <c r="D287" s="16"/>
      <c r="E287" s="17"/>
      <c r="F287" s="67" t="s">
        <v>404</v>
      </c>
      <c r="G287" s="34"/>
      <c r="H287" s="35"/>
      <c r="I287" s="34"/>
      <c r="J287" s="46">
        <f>11660100+5759720+193698800-3560000-74391123+6300000</f>
        <v>139467497</v>
      </c>
    </row>
    <row r="288" spans="1:11" s="60" customFormat="1" ht="18.75" customHeight="1" x14ac:dyDescent="0.2">
      <c r="A288" s="20"/>
      <c r="B288" s="20"/>
      <c r="C288" s="20"/>
      <c r="D288" s="20"/>
      <c r="E288" s="21"/>
      <c r="F288" s="22" t="s">
        <v>286</v>
      </c>
      <c r="G288" s="38"/>
      <c r="H288" s="39"/>
      <c r="I288" s="38"/>
      <c r="J288" s="47">
        <v>3299171</v>
      </c>
    </row>
    <row r="289" spans="1:10" s="58" customFormat="1" ht="15" x14ac:dyDescent="0.2">
      <c r="A289" s="16"/>
      <c r="B289" s="16"/>
      <c r="C289" s="16"/>
      <c r="D289" s="16"/>
      <c r="E289" s="17"/>
      <c r="F289" s="18" t="s">
        <v>405</v>
      </c>
      <c r="G289" s="34"/>
      <c r="H289" s="35"/>
      <c r="I289" s="34"/>
      <c r="J289" s="46">
        <f>766851+763417+825279</f>
        <v>2355547</v>
      </c>
    </row>
    <row r="290" spans="1:10" s="58" customFormat="1" ht="15" x14ac:dyDescent="0.2">
      <c r="A290" s="16"/>
      <c r="B290" s="16"/>
      <c r="C290" s="16"/>
      <c r="D290" s="16"/>
      <c r="E290" s="17"/>
      <c r="F290" s="22" t="s">
        <v>297</v>
      </c>
      <c r="G290" s="34"/>
      <c r="H290" s="35"/>
      <c r="I290" s="34"/>
      <c r="J290" s="46"/>
    </row>
    <row r="291" spans="1:10" s="58" customFormat="1" ht="44.25" customHeight="1" x14ac:dyDescent="0.2">
      <c r="A291" s="16"/>
      <c r="B291" s="16"/>
      <c r="C291" s="16"/>
      <c r="D291" s="16"/>
      <c r="E291" s="17"/>
      <c r="F291" s="18" t="s">
        <v>406</v>
      </c>
      <c r="G291" s="34"/>
      <c r="H291" s="35"/>
      <c r="I291" s="34"/>
      <c r="J291" s="46">
        <v>265018</v>
      </c>
    </row>
    <row r="292" spans="1:10" s="58" customFormat="1" ht="17.25" customHeight="1" x14ac:dyDescent="0.2">
      <c r="A292" s="16"/>
      <c r="B292" s="16"/>
      <c r="C292" s="16"/>
      <c r="D292" s="16"/>
      <c r="E292" s="17"/>
      <c r="F292" s="18" t="s">
        <v>286</v>
      </c>
      <c r="G292" s="34"/>
      <c r="H292" s="35"/>
      <c r="I292" s="34"/>
      <c r="J292" s="46">
        <v>265018</v>
      </c>
    </row>
    <row r="293" spans="1:10" s="58" customFormat="1" ht="17.25" customHeight="1" x14ac:dyDescent="0.2">
      <c r="A293" s="16"/>
      <c r="B293" s="16"/>
      <c r="C293" s="16"/>
      <c r="D293" s="16"/>
      <c r="E293" s="17"/>
      <c r="F293" s="22" t="s">
        <v>299</v>
      </c>
      <c r="G293" s="34"/>
      <c r="H293" s="35"/>
      <c r="I293" s="34"/>
      <c r="J293" s="46"/>
    </row>
    <row r="294" spans="1:10" s="58" customFormat="1" ht="79.5" customHeight="1" x14ac:dyDescent="0.2">
      <c r="A294" s="16"/>
      <c r="B294" s="16"/>
      <c r="C294" s="16"/>
      <c r="D294" s="16"/>
      <c r="E294" s="17"/>
      <c r="F294" s="32" t="s">
        <v>407</v>
      </c>
      <c r="G294" s="34">
        <v>95600000</v>
      </c>
      <c r="H294" s="35">
        <v>17.8</v>
      </c>
      <c r="I294" s="34">
        <v>17000000</v>
      </c>
      <c r="J294" s="46">
        <f>600000+30000000+48000000</f>
        <v>78600000</v>
      </c>
    </row>
    <row r="295" spans="1:10" s="58" customFormat="1" ht="81.75" customHeight="1" x14ac:dyDescent="0.2">
      <c r="A295" s="16"/>
      <c r="B295" s="16"/>
      <c r="C295" s="16"/>
      <c r="D295" s="16"/>
      <c r="E295" s="17"/>
      <c r="F295" s="18" t="s">
        <v>408</v>
      </c>
      <c r="G295" s="34">
        <v>113800000</v>
      </c>
      <c r="H295" s="35">
        <v>11.6</v>
      </c>
      <c r="I295" s="34">
        <v>13200000</v>
      </c>
      <c r="J295" s="46">
        <f>600000+25000000+75000000</f>
        <v>100600000</v>
      </c>
    </row>
    <row r="296" spans="1:10" s="58" customFormat="1" ht="85.5" customHeight="1" x14ac:dyDescent="0.2">
      <c r="A296" s="16"/>
      <c r="B296" s="16"/>
      <c r="C296" s="16"/>
      <c r="D296" s="16"/>
      <c r="E296" s="17"/>
      <c r="F296" s="18" t="s">
        <v>409</v>
      </c>
      <c r="G296" s="34">
        <v>66394797</v>
      </c>
      <c r="H296" s="35">
        <v>99.1</v>
      </c>
      <c r="I296" s="34">
        <v>65794797</v>
      </c>
      <c r="J296" s="46">
        <f>600000+25000000-25000000</f>
        <v>600000</v>
      </c>
    </row>
    <row r="297" spans="1:10" s="58" customFormat="1" ht="77.25" customHeight="1" x14ac:dyDescent="0.2">
      <c r="A297" s="16"/>
      <c r="B297" s="16"/>
      <c r="C297" s="16"/>
      <c r="D297" s="16"/>
      <c r="E297" s="17"/>
      <c r="F297" s="17" t="s">
        <v>410</v>
      </c>
      <c r="G297" s="34">
        <v>88454375</v>
      </c>
      <c r="H297" s="35">
        <v>99.3</v>
      </c>
      <c r="I297" s="34">
        <v>87854375</v>
      </c>
      <c r="J297" s="46">
        <f>600000+25000000-25000000</f>
        <v>600000</v>
      </c>
    </row>
    <row r="298" spans="1:10" s="58" customFormat="1" ht="88.5" customHeight="1" x14ac:dyDescent="0.2">
      <c r="A298" s="16"/>
      <c r="B298" s="16"/>
      <c r="C298" s="16"/>
      <c r="D298" s="16"/>
      <c r="E298" s="17"/>
      <c r="F298" s="17" t="s">
        <v>411</v>
      </c>
      <c r="G298" s="34">
        <v>49687622</v>
      </c>
      <c r="H298" s="35">
        <v>50.5</v>
      </c>
      <c r="I298" s="34">
        <v>25085053</v>
      </c>
      <c r="J298" s="46">
        <f>600000+25000000-997431</f>
        <v>24602569</v>
      </c>
    </row>
    <row r="299" spans="1:10" s="58" customFormat="1" ht="78" customHeight="1" x14ac:dyDescent="0.2">
      <c r="A299" s="16"/>
      <c r="B299" s="16"/>
      <c r="C299" s="16"/>
      <c r="D299" s="16"/>
      <c r="E299" s="17"/>
      <c r="F299" s="17" t="s">
        <v>412</v>
      </c>
      <c r="G299" s="34">
        <v>23205919</v>
      </c>
      <c r="H299" s="35">
        <v>13</v>
      </c>
      <c r="I299" s="34">
        <v>3005919</v>
      </c>
      <c r="J299" s="46">
        <f>200000+25000000-5000000</f>
        <v>20200000</v>
      </c>
    </row>
    <row r="300" spans="1:10" s="58" customFormat="1" ht="102" customHeight="1" x14ac:dyDescent="0.2">
      <c r="A300" s="16"/>
      <c r="B300" s="16"/>
      <c r="C300" s="16"/>
      <c r="D300" s="16"/>
      <c r="E300" s="17"/>
      <c r="F300" s="17" t="s">
        <v>413</v>
      </c>
      <c r="G300" s="34">
        <v>115040825</v>
      </c>
      <c r="H300" s="35">
        <v>75.099999999999994</v>
      </c>
      <c r="I300" s="34">
        <v>86443394</v>
      </c>
      <c r="J300" s="46">
        <f>600000+25000000+2997431</f>
        <v>28597431</v>
      </c>
    </row>
    <row r="301" spans="1:10" s="58" customFormat="1" ht="87" customHeight="1" x14ac:dyDescent="0.2">
      <c r="A301" s="16"/>
      <c r="B301" s="16"/>
      <c r="C301" s="16"/>
      <c r="D301" s="16"/>
      <c r="E301" s="17"/>
      <c r="F301" s="17" t="s">
        <v>414</v>
      </c>
      <c r="G301" s="34">
        <v>41340433</v>
      </c>
      <c r="H301" s="35">
        <v>99.3</v>
      </c>
      <c r="I301" s="34">
        <v>41040433</v>
      </c>
      <c r="J301" s="46">
        <f>25300000-25000000</f>
        <v>300000</v>
      </c>
    </row>
    <row r="302" spans="1:10" s="58" customFormat="1" ht="96.75" customHeight="1" x14ac:dyDescent="0.2">
      <c r="A302" s="16"/>
      <c r="B302" s="16"/>
      <c r="C302" s="16"/>
      <c r="D302" s="16"/>
      <c r="E302" s="17"/>
      <c r="F302" s="17" t="s">
        <v>415</v>
      </c>
      <c r="G302" s="34">
        <v>7683556</v>
      </c>
      <c r="H302" s="35">
        <v>96.1</v>
      </c>
      <c r="I302" s="34">
        <v>7383556</v>
      </c>
      <c r="J302" s="46">
        <f>25300000-25000000</f>
        <v>300000</v>
      </c>
    </row>
    <row r="303" spans="1:10" s="58" customFormat="1" ht="45.75" customHeight="1" x14ac:dyDescent="0.2">
      <c r="A303" s="16"/>
      <c r="B303" s="16"/>
      <c r="C303" s="16"/>
      <c r="D303" s="16"/>
      <c r="E303" s="17"/>
      <c r="F303" s="17" t="s">
        <v>416</v>
      </c>
      <c r="G303" s="34">
        <v>80062331</v>
      </c>
      <c r="H303" s="35">
        <v>99.3</v>
      </c>
      <c r="I303" s="34">
        <v>79462331</v>
      </c>
      <c r="J303" s="46">
        <f>20600000-20000000</f>
        <v>600000</v>
      </c>
    </row>
    <row r="304" spans="1:10" s="58" customFormat="1" ht="17.25" customHeight="1" x14ac:dyDescent="0.2">
      <c r="A304" s="16"/>
      <c r="B304" s="16"/>
      <c r="C304" s="16"/>
      <c r="D304" s="16"/>
      <c r="E304" s="17"/>
      <c r="F304" s="22" t="s">
        <v>301</v>
      </c>
      <c r="G304" s="34"/>
      <c r="H304" s="35"/>
      <c r="I304" s="34"/>
      <c r="J304" s="46"/>
    </row>
    <row r="305" spans="1:10" s="58" customFormat="1" ht="33.75" customHeight="1" x14ac:dyDescent="0.2">
      <c r="A305" s="16"/>
      <c r="B305" s="16"/>
      <c r="C305" s="16"/>
      <c r="D305" s="16"/>
      <c r="E305" s="17"/>
      <c r="F305" s="18" t="s">
        <v>417</v>
      </c>
      <c r="G305" s="34">
        <v>41396848</v>
      </c>
      <c r="H305" s="35">
        <v>99.8</v>
      </c>
      <c r="I305" s="34">
        <v>41296848</v>
      </c>
      <c r="J305" s="46">
        <f>30000000-15000000-14900000</f>
        <v>100000</v>
      </c>
    </row>
    <row r="306" spans="1:10" s="58" customFormat="1" ht="17.25" customHeight="1" x14ac:dyDescent="0.2">
      <c r="A306" s="16"/>
      <c r="B306" s="16"/>
      <c r="C306" s="16"/>
      <c r="D306" s="16"/>
      <c r="E306" s="17"/>
      <c r="F306" s="22" t="s">
        <v>311</v>
      </c>
      <c r="G306" s="34"/>
      <c r="H306" s="35"/>
      <c r="I306" s="34"/>
      <c r="J306" s="46"/>
    </row>
    <row r="307" spans="1:10" s="58" customFormat="1" ht="45" customHeight="1" x14ac:dyDescent="0.2">
      <c r="A307" s="16"/>
      <c r="B307" s="16"/>
      <c r="C307" s="16"/>
      <c r="D307" s="16"/>
      <c r="E307" s="17"/>
      <c r="F307" s="18" t="s">
        <v>418</v>
      </c>
      <c r="G307" s="34">
        <v>23981222</v>
      </c>
      <c r="H307" s="35">
        <v>15.7</v>
      </c>
      <c r="I307" s="34">
        <v>3759674</v>
      </c>
      <c r="J307" s="46">
        <f>7800000-250000-3358000</f>
        <v>4192000</v>
      </c>
    </row>
    <row r="308" spans="1:10" s="58" customFormat="1" ht="17.25" customHeight="1" x14ac:dyDescent="0.2">
      <c r="A308" s="16"/>
      <c r="B308" s="16"/>
      <c r="C308" s="16"/>
      <c r="D308" s="16"/>
      <c r="E308" s="17"/>
      <c r="F308" s="22" t="s">
        <v>340</v>
      </c>
      <c r="G308" s="34"/>
      <c r="H308" s="35"/>
      <c r="I308" s="34"/>
      <c r="J308" s="46"/>
    </row>
    <row r="309" spans="1:10" s="58" customFormat="1" ht="41.25" customHeight="1" x14ac:dyDescent="0.2">
      <c r="A309" s="16"/>
      <c r="B309" s="16"/>
      <c r="C309" s="16"/>
      <c r="D309" s="16"/>
      <c r="E309" s="17"/>
      <c r="F309" s="18" t="s">
        <v>419</v>
      </c>
      <c r="G309" s="34">
        <v>26674148</v>
      </c>
      <c r="H309" s="35"/>
      <c r="I309" s="34"/>
      <c r="J309" s="46">
        <f>13000000+3200000+4100000+250000</f>
        <v>20550000</v>
      </c>
    </row>
    <row r="310" spans="1:10" s="58" customFormat="1" ht="15.75" customHeight="1" x14ac:dyDescent="0.2">
      <c r="A310" s="16" t="s">
        <v>420</v>
      </c>
      <c r="B310" s="16" t="s">
        <v>421</v>
      </c>
      <c r="C310" s="16"/>
      <c r="D310" s="16" t="s">
        <v>422</v>
      </c>
      <c r="E310" s="17" t="s">
        <v>423</v>
      </c>
      <c r="F310" s="18"/>
      <c r="G310" s="34"/>
      <c r="H310" s="35"/>
      <c r="I310" s="34"/>
      <c r="J310" s="46">
        <f>J312+J313+J315+J317+J318</f>
        <v>2102640</v>
      </c>
    </row>
    <row r="311" spans="1:10" s="58" customFormat="1" ht="15" x14ac:dyDescent="0.2">
      <c r="A311" s="16"/>
      <c r="B311" s="16"/>
      <c r="C311" s="16"/>
      <c r="D311" s="16"/>
      <c r="E311" s="17"/>
      <c r="F311" s="21" t="s">
        <v>299</v>
      </c>
      <c r="G311" s="34"/>
      <c r="H311" s="35"/>
      <c r="I311" s="34"/>
      <c r="J311" s="46"/>
    </row>
    <row r="312" spans="1:10" s="58" customFormat="1" ht="45" x14ac:dyDescent="0.2">
      <c r="A312" s="16"/>
      <c r="B312" s="16"/>
      <c r="C312" s="16"/>
      <c r="D312" s="16"/>
      <c r="E312" s="17"/>
      <c r="F312" s="17" t="s">
        <v>424</v>
      </c>
      <c r="G312" s="34">
        <v>8748526</v>
      </c>
      <c r="H312" s="35">
        <v>95.4</v>
      </c>
      <c r="I312" s="34">
        <v>8348526</v>
      </c>
      <c r="J312" s="46">
        <f>7000000+1600000-8200000</f>
        <v>400000</v>
      </c>
    </row>
    <row r="313" spans="1:10" s="58" customFormat="1" ht="60" x14ac:dyDescent="0.2">
      <c r="A313" s="16"/>
      <c r="B313" s="16"/>
      <c r="C313" s="16"/>
      <c r="D313" s="16"/>
      <c r="E313" s="17"/>
      <c r="F313" s="17" t="s">
        <v>425</v>
      </c>
      <c r="G313" s="34">
        <v>7000000</v>
      </c>
      <c r="H313" s="35">
        <v>90.7</v>
      </c>
      <c r="I313" s="34">
        <v>6347992</v>
      </c>
      <c r="J313" s="46">
        <f>7000000-6347992</f>
        <v>652008</v>
      </c>
    </row>
    <row r="314" spans="1:10" s="58" customFormat="1" ht="15" x14ac:dyDescent="0.2">
      <c r="A314" s="16"/>
      <c r="B314" s="16"/>
      <c r="C314" s="16"/>
      <c r="D314" s="16"/>
      <c r="E314" s="17"/>
      <c r="F314" s="21" t="s">
        <v>303</v>
      </c>
      <c r="G314" s="34"/>
      <c r="H314" s="35"/>
      <c r="I314" s="34"/>
      <c r="J314" s="46"/>
    </row>
    <row r="315" spans="1:10" s="58" customFormat="1" ht="105" x14ac:dyDescent="0.2">
      <c r="A315" s="16"/>
      <c r="B315" s="16"/>
      <c r="C315" s="16"/>
      <c r="D315" s="16"/>
      <c r="E315" s="17"/>
      <c r="F315" s="17" t="s">
        <v>426</v>
      </c>
      <c r="G315" s="34">
        <v>3500000</v>
      </c>
      <c r="H315" s="35">
        <v>89.5</v>
      </c>
      <c r="I315" s="34">
        <v>3132426</v>
      </c>
      <c r="J315" s="46">
        <f>3500000-3132426</f>
        <v>367574</v>
      </c>
    </row>
    <row r="316" spans="1:10" s="58" customFormat="1" ht="15" x14ac:dyDescent="0.2">
      <c r="A316" s="16"/>
      <c r="B316" s="16"/>
      <c r="C316" s="16"/>
      <c r="D316" s="16"/>
      <c r="E316" s="17"/>
      <c r="F316" s="21" t="s">
        <v>354</v>
      </c>
      <c r="G316" s="34"/>
      <c r="H316" s="35"/>
      <c r="I316" s="34"/>
      <c r="J316" s="46"/>
    </row>
    <row r="317" spans="1:10" s="58" customFormat="1" ht="90" x14ac:dyDescent="0.2">
      <c r="A317" s="16"/>
      <c r="B317" s="16"/>
      <c r="C317" s="16"/>
      <c r="D317" s="16"/>
      <c r="E317" s="17"/>
      <c r="F317" s="17" t="s">
        <v>427</v>
      </c>
      <c r="G317" s="34">
        <v>1500000</v>
      </c>
      <c r="H317" s="35">
        <v>77.7</v>
      </c>
      <c r="I317" s="34">
        <v>1165615</v>
      </c>
      <c r="J317" s="46">
        <f>1500000-1165615</f>
        <v>334385</v>
      </c>
    </row>
    <row r="318" spans="1:10" s="58" customFormat="1" ht="90" x14ac:dyDescent="0.2">
      <c r="A318" s="16"/>
      <c r="B318" s="16"/>
      <c r="C318" s="16"/>
      <c r="D318" s="16"/>
      <c r="E318" s="17"/>
      <c r="F318" s="17" t="s">
        <v>428</v>
      </c>
      <c r="G318" s="34">
        <v>3000000</v>
      </c>
      <c r="H318" s="35">
        <v>88.4</v>
      </c>
      <c r="I318" s="34">
        <v>2651327</v>
      </c>
      <c r="J318" s="46">
        <f>3000000-2651327</f>
        <v>348673</v>
      </c>
    </row>
    <row r="319" spans="1:10" s="58" customFormat="1" ht="15" x14ac:dyDescent="0.2">
      <c r="A319" s="16" t="s">
        <v>429</v>
      </c>
      <c r="B319" s="16" t="s">
        <v>430</v>
      </c>
      <c r="C319" s="16"/>
      <c r="D319" s="16" t="s">
        <v>431</v>
      </c>
      <c r="E319" s="17" t="s">
        <v>432</v>
      </c>
      <c r="F319" s="18" t="s">
        <v>23</v>
      </c>
      <c r="G319" s="34"/>
      <c r="H319" s="35"/>
      <c r="I319" s="34"/>
      <c r="J319" s="46">
        <f>71127123-71027123</f>
        <v>100000</v>
      </c>
    </row>
    <row r="320" spans="1:10" s="58" customFormat="1" ht="15" x14ac:dyDescent="0.2">
      <c r="A320" s="16"/>
      <c r="B320" s="16"/>
      <c r="C320" s="16"/>
      <c r="D320" s="16"/>
      <c r="E320" s="67" t="s">
        <v>433</v>
      </c>
      <c r="F320" s="67"/>
      <c r="G320" s="34"/>
      <c r="H320" s="35"/>
      <c r="I320" s="34"/>
      <c r="J320" s="47">
        <f>71127123-71027123</f>
        <v>100000</v>
      </c>
    </row>
    <row r="321" spans="1:13" s="58" customFormat="1" ht="15" x14ac:dyDescent="0.2">
      <c r="A321" s="16" t="s">
        <v>434</v>
      </c>
      <c r="B321" s="16" t="s">
        <v>39</v>
      </c>
      <c r="C321" s="16"/>
      <c r="D321" s="16" t="s">
        <v>41</v>
      </c>
      <c r="E321" s="17" t="s">
        <v>435</v>
      </c>
      <c r="F321" s="17"/>
      <c r="G321" s="34"/>
      <c r="H321" s="35"/>
      <c r="I321" s="34"/>
      <c r="J321" s="46">
        <f>J322</f>
        <v>400000</v>
      </c>
    </row>
    <row r="322" spans="1:13" s="58" customFormat="1" ht="30" x14ac:dyDescent="0.2">
      <c r="A322" s="16"/>
      <c r="B322" s="16"/>
      <c r="C322" s="16"/>
      <c r="D322" s="16"/>
      <c r="E322" s="17" t="s">
        <v>436</v>
      </c>
      <c r="F322" s="18" t="s">
        <v>23</v>
      </c>
      <c r="G322" s="34"/>
      <c r="H322" s="35"/>
      <c r="I322" s="34"/>
      <c r="J322" s="46">
        <v>400000</v>
      </c>
    </row>
    <row r="323" spans="1:13" s="57" customFormat="1" ht="28.5" x14ac:dyDescent="0.2">
      <c r="A323" s="23" t="s">
        <v>437</v>
      </c>
      <c r="B323" s="23"/>
      <c r="C323" s="23" t="s">
        <v>438</v>
      </c>
      <c r="D323" s="23"/>
      <c r="E323" s="24" t="s">
        <v>439</v>
      </c>
      <c r="F323" s="25"/>
      <c r="G323" s="36"/>
      <c r="H323" s="37"/>
      <c r="I323" s="36"/>
      <c r="J323" s="45">
        <f>J324</f>
        <v>100000</v>
      </c>
      <c r="K323" s="45"/>
      <c r="M323" s="96"/>
    </row>
    <row r="324" spans="1:13" s="57" customFormat="1" ht="28.5" x14ac:dyDescent="0.2">
      <c r="A324" s="23" t="s">
        <v>440</v>
      </c>
      <c r="B324" s="23"/>
      <c r="C324" s="23" t="s">
        <v>438</v>
      </c>
      <c r="D324" s="23"/>
      <c r="E324" s="24" t="s">
        <v>439</v>
      </c>
      <c r="F324" s="25"/>
      <c r="G324" s="36"/>
      <c r="H324" s="37"/>
      <c r="I324" s="36"/>
      <c r="J324" s="45">
        <f>J325</f>
        <v>100000</v>
      </c>
      <c r="K324" s="96"/>
    </row>
    <row r="325" spans="1:13" s="58" customFormat="1" ht="22.5" customHeight="1" x14ac:dyDescent="0.25">
      <c r="A325" s="16" t="s">
        <v>441</v>
      </c>
      <c r="B325" s="16" t="s">
        <v>442</v>
      </c>
      <c r="C325" s="16"/>
      <c r="D325" s="16" t="s">
        <v>443</v>
      </c>
      <c r="E325" s="17" t="s">
        <v>444</v>
      </c>
      <c r="F325" s="18"/>
      <c r="G325" s="34"/>
      <c r="H325" s="35"/>
      <c r="I325" s="34"/>
      <c r="J325" s="46">
        <v>100000</v>
      </c>
      <c r="K325" s="46"/>
      <c r="L325" s="105"/>
    </row>
    <row r="326" spans="1:13" s="57" customFormat="1" ht="28.5" x14ac:dyDescent="0.2">
      <c r="A326" s="23" t="s">
        <v>445</v>
      </c>
      <c r="B326" s="23"/>
      <c r="C326" s="23" t="s">
        <v>438</v>
      </c>
      <c r="D326" s="23"/>
      <c r="E326" s="24" t="s">
        <v>446</v>
      </c>
      <c r="F326" s="25"/>
      <c r="G326" s="36"/>
      <c r="H326" s="37"/>
      <c r="I326" s="36"/>
      <c r="J326" s="45">
        <f>J327</f>
        <v>1324646697</v>
      </c>
      <c r="K326" s="45">
        <v>980709583</v>
      </c>
      <c r="M326" s="96">
        <f>J326-1294114197</f>
        <v>30532500</v>
      </c>
    </row>
    <row r="327" spans="1:13" s="57" customFormat="1" ht="28.5" x14ac:dyDescent="0.2">
      <c r="A327" s="23" t="s">
        <v>447</v>
      </c>
      <c r="B327" s="23"/>
      <c r="C327" s="23" t="s">
        <v>438</v>
      </c>
      <c r="D327" s="23"/>
      <c r="E327" s="24" t="s">
        <v>446</v>
      </c>
      <c r="F327" s="25"/>
      <c r="G327" s="36"/>
      <c r="H327" s="37"/>
      <c r="I327" s="36"/>
      <c r="J327" s="45">
        <f>J331+J637+J689+J708+J684+J328</f>
        <v>1324646697</v>
      </c>
      <c r="K327" s="96"/>
    </row>
    <row r="328" spans="1:13" s="58" customFormat="1" ht="22.5" customHeight="1" x14ac:dyDescent="0.25">
      <c r="A328" s="16" t="s">
        <v>448</v>
      </c>
      <c r="B328" s="16" t="s">
        <v>281</v>
      </c>
      <c r="C328" s="16"/>
      <c r="D328" s="16"/>
      <c r="E328" s="17" t="s">
        <v>449</v>
      </c>
      <c r="F328" s="18"/>
      <c r="G328" s="34"/>
      <c r="H328" s="35"/>
      <c r="I328" s="34"/>
      <c r="J328" s="46">
        <f>J329</f>
        <v>3489962</v>
      </c>
      <c r="K328" s="46"/>
      <c r="L328" s="105"/>
    </row>
    <row r="329" spans="1:13" s="58" customFormat="1" ht="22.5" customHeight="1" x14ac:dyDescent="0.25">
      <c r="A329" s="16" t="s">
        <v>450</v>
      </c>
      <c r="B329" s="16" t="s">
        <v>451</v>
      </c>
      <c r="C329" s="16"/>
      <c r="D329" s="16" t="s">
        <v>243</v>
      </c>
      <c r="E329" s="17" t="s">
        <v>452</v>
      </c>
      <c r="F329" s="18" t="s">
        <v>23</v>
      </c>
      <c r="G329" s="34"/>
      <c r="H329" s="35"/>
      <c r="I329" s="34"/>
      <c r="J329" s="46">
        <f>3449962+40000</f>
        <v>3489962</v>
      </c>
      <c r="K329" s="46"/>
      <c r="L329" s="105"/>
    </row>
    <row r="330" spans="1:13" s="58" customFormat="1" ht="18" customHeight="1" x14ac:dyDescent="0.25">
      <c r="A330" s="16"/>
      <c r="B330" s="16"/>
      <c r="C330" s="16"/>
      <c r="D330" s="16"/>
      <c r="E330" s="22" t="s">
        <v>232</v>
      </c>
      <c r="F330" s="22"/>
      <c r="G330" s="34"/>
      <c r="H330" s="35"/>
      <c r="I330" s="34"/>
      <c r="J330" s="47">
        <v>2874968</v>
      </c>
      <c r="K330" s="46"/>
      <c r="L330" s="105"/>
    </row>
    <row r="331" spans="1:13" s="58" customFormat="1" ht="33.75" customHeight="1" x14ac:dyDescent="0.25">
      <c r="A331" s="16" t="s">
        <v>453</v>
      </c>
      <c r="B331" s="16" t="s">
        <v>103</v>
      </c>
      <c r="C331" s="16" t="s">
        <v>104</v>
      </c>
      <c r="D331" s="16" t="s">
        <v>31</v>
      </c>
      <c r="E331" s="17" t="s">
        <v>105</v>
      </c>
      <c r="F331" s="18"/>
      <c r="G331" s="34"/>
      <c r="H331" s="35"/>
      <c r="I331" s="34"/>
      <c r="J331" s="46">
        <f>SUM(J334:J636)-J361-J390-J394-J396-J398-J410-J412-J428-J432-J434-J436-J438-J440-J442-J444-J446-J461-J605-J430-J475-J499+K333-J572-J576-J387-J392-J418-J420-J422-J478-J506-J511-J559-J611-J630</f>
        <v>1072487708</v>
      </c>
      <c r="K331" s="46"/>
      <c r="L331" s="105"/>
    </row>
    <row r="332" spans="1:13" s="58" customFormat="1" ht="15" x14ac:dyDescent="0.2">
      <c r="A332" s="16"/>
      <c r="B332" s="16"/>
      <c r="C332" s="16"/>
      <c r="D332" s="16"/>
      <c r="E332" s="17" t="s">
        <v>43</v>
      </c>
      <c r="F332" s="18"/>
      <c r="G332" s="34"/>
      <c r="H332" s="35"/>
      <c r="I332" s="34"/>
      <c r="J332" s="46"/>
      <c r="L332" s="113"/>
    </row>
    <row r="333" spans="1:13" s="58" customFormat="1" ht="21" customHeight="1" x14ac:dyDescent="0.2">
      <c r="A333" s="16"/>
      <c r="B333" s="16"/>
      <c r="C333" s="16"/>
      <c r="D333" s="16"/>
      <c r="E333" s="17"/>
      <c r="F333" s="18" t="s">
        <v>299</v>
      </c>
      <c r="G333" s="34"/>
      <c r="H333" s="35"/>
      <c r="I333" s="34"/>
      <c r="J333" s="46"/>
      <c r="K333" s="58">
        <f>175000000-103100050-25299950-46300000-300000</f>
        <v>0</v>
      </c>
      <c r="L333" s="58" t="s">
        <v>454</v>
      </c>
      <c r="M333" s="58" t="s">
        <v>455</v>
      </c>
    </row>
    <row r="334" spans="1:13" s="58" customFormat="1" ht="60" x14ac:dyDescent="0.2">
      <c r="A334" s="16"/>
      <c r="B334" s="16"/>
      <c r="C334" s="16"/>
      <c r="D334" s="16"/>
      <c r="E334" s="17"/>
      <c r="F334" s="18" t="s">
        <v>456</v>
      </c>
      <c r="G334" s="34">
        <v>7675479</v>
      </c>
      <c r="H334" s="35">
        <v>99.739429943069354</v>
      </c>
      <c r="I334" s="34">
        <v>7655479</v>
      </c>
      <c r="J334" s="46">
        <v>20000</v>
      </c>
    </row>
    <row r="335" spans="1:13" s="58" customFormat="1" ht="75" x14ac:dyDescent="0.2">
      <c r="A335" s="16"/>
      <c r="B335" s="16"/>
      <c r="C335" s="16"/>
      <c r="D335" s="16"/>
      <c r="E335" s="17"/>
      <c r="F335" s="18" t="s">
        <v>457</v>
      </c>
      <c r="G335" s="34">
        <v>4474778</v>
      </c>
      <c r="H335" s="35">
        <v>99.55305045300571</v>
      </c>
      <c r="I335" s="34">
        <v>4454778</v>
      </c>
      <c r="J335" s="46">
        <v>20000</v>
      </c>
    </row>
    <row r="336" spans="1:13" s="58" customFormat="1" ht="30" x14ac:dyDescent="0.2">
      <c r="A336" s="16"/>
      <c r="B336" s="16"/>
      <c r="C336" s="16"/>
      <c r="D336" s="16"/>
      <c r="E336" s="17"/>
      <c r="F336" s="18" t="s">
        <v>458</v>
      </c>
      <c r="G336" s="34">
        <v>15119930</v>
      </c>
      <c r="H336" s="35">
        <v>99.867724255337166</v>
      </c>
      <c r="I336" s="34">
        <v>15099930</v>
      </c>
      <c r="J336" s="46">
        <v>20000</v>
      </c>
    </row>
    <row r="337" spans="1:10" s="58" customFormat="1" ht="30" x14ac:dyDescent="0.2">
      <c r="A337" s="16"/>
      <c r="B337" s="16"/>
      <c r="C337" s="16"/>
      <c r="D337" s="16"/>
      <c r="E337" s="17"/>
      <c r="F337" s="18" t="s">
        <v>459</v>
      </c>
      <c r="G337" s="34">
        <v>9080293</v>
      </c>
      <c r="H337" s="35">
        <v>99.77974279023816</v>
      </c>
      <c r="I337" s="34">
        <v>9060293</v>
      </c>
      <c r="J337" s="46">
        <v>20000</v>
      </c>
    </row>
    <row r="338" spans="1:10" s="58" customFormat="1" ht="45" x14ac:dyDescent="0.2">
      <c r="A338" s="16"/>
      <c r="B338" s="16"/>
      <c r="C338" s="16"/>
      <c r="D338" s="16"/>
      <c r="E338" s="17"/>
      <c r="F338" s="18" t="s">
        <v>460</v>
      </c>
      <c r="G338" s="34">
        <v>12725248</v>
      </c>
      <c r="H338" s="35">
        <v>99.84283213969583</v>
      </c>
      <c r="I338" s="34">
        <v>12705248</v>
      </c>
      <c r="J338" s="46">
        <v>20000</v>
      </c>
    </row>
    <row r="339" spans="1:10" s="58" customFormat="1" ht="45" x14ac:dyDescent="0.2">
      <c r="A339" s="16"/>
      <c r="B339" s="16"/>
      <c r="C339" s="16"/>
      <c r="D339" s="16"/>
      <c r="E339" s="17"/>
      <c r="F339" s="18" t="s">
        <v>461</v>
      </c>
      <c r="G339" s="34">
        <v>7151638</v>
      </c>
      <c r="H339" s="35">
        <v>99.720343786975789</v>
      </c>
      <c r="I339" s="34">
        <v>7131638</v>
      </c>
      <c r="J339" s="46">
        <v>20000</v>
      </c>
    </row>
    <row r="340" spans="1:10" s="58" customFormat="1" ht="67.5" customHeight="1" x14ac:dyDescent="0.2">
      <c r="A340" s="16"/>
      <c r="B340" s="16"/>
      <c r="C340" s="16"/>
      <c r="D340" s="16"/>
      <c r="E340" s="17"/>
      <c r="F340" s="18" t="s">
        <v>462</v>
      </c>
      <c r="G340" s="34">
        <v>4647484</v>
      </c>
      <c r="H340" s="35">
        <v>99.56965962658505</v>
      </c>
      <c r="I340" s="34">
        <v>4627484</v>
      </c>
      <c r="J340" s="46">
        <v>20000</v>
      </c>
    </row>
    <row r="341" spans="1:10" s="58" customFormat="1" ht="66" customHeight="1" x14ac:dyDescent="0.2">
      <c r="A341" s="16"/>
      <c r="B341" s="16"/>
      <c r="C341" s="16"/>
      <c r="D341" s="16"/>
      <c r="E341" s="17"/>
      <c r="F341" s="18" t="s">
        <v>463</v>
      </c>
      <c r="G341" s="34">
        <v>7293284</v>
      </c>
      <c r="H341" s="35">
        <v>99.725775110361809</v>
      </c>
      <c r="I341" s="34">
        <v>7273284</v>
      </c>
      <c r="J341" s="46">
        <v>20000</v>
      </c>
    </row>
    <row r="342" spans="1:10" s="58" customFormat="1" ht="66.75" customHeight="1" x14ac:dyDescent="0.2">
      <c r="A342" s="16"/>
      <c r="B342" s="16"/>
      <c r="C342" s="16"/>
      <c r="D342" s="16"/>
      <c r="E342" s="17"/>
      <c r="F342" s="18" t="s">
        <v>464</v>
      </c>
      <c r="G342" s="34">
        <v>5295640</v>
      </c>
      <c r="H342" s="35">
        <v>99.622330823092213</v>
      </c>
      <c r="I342" s="34">
        <v>5275640</v>
      </c>
      <c r="J342" s="46">
        <v>20000</v>
      </c>
    </row>
    <row r="343" spans="1:10" s="58" customFormat="1" ht="67.5" customHeight="1" x14ac:dyDescent="0.2">
      <c r="A343" s="16"/>
      <c r="B343" s="16"/>
      <c r="C343" s="16"/>
      <c r="D343" s="16"/>
      <c r="E343" s="17"/>
      <c r="F343" s="18" t="s">
        <v>465</v>
      </c>
      <c r="G343" s="34">
        <v>5646172</v>
      </c>
      <c r="H343" s="35">
        <v>99.645777705673865</v>
      </c>
      <c r="I343" s="34">
        <v>5626172</v>
      </c>
      <c r="J343" s="46">
        <v>20000</v>
      </c>
    </row>
    <row r="344" spans="1:10" s="58" customFormat="1" ht="67.5" customHeight="1" x14ac:dyDescent="0.2">
      <c r="A344" s="16"/>
      <c r="B344" s="16"/>
      <c r="C344" s="16"/>
      <c r="D344" s="16"/>
      <c r="E344" s="17"/>
      <c r="F344" s="18" t="s">
        <v>466</v>
      </c>
      <c r="G344" s="34">
        <v>11640236</v>
      </c>
      <c r="H344" s="35">
        <v>99.828182177749653</v>
      </c>
      <c r="I344" s="34">
        <v>11620236</v>
      </c>
      <c r="J344" s="46">
        <v>20000</v>
      </c>
    </row>
    <row r="345" spans="1:10" s="58" customFormat="1" ht="45" x14ac:dyDescent="0.2">
      <c r="A345" s="16"/>
      <c r="B345" s="16"/>
      <c r="C345" s="16"/>
      <c r="D345" s="16"/>
      <c r="E345" s="17"/>
      <c r="F345" s="18" t="s">
        <v>467</v>
      </c>
      <c r="G345" s="34">
        <v>7440524</v>
      </c>
      <c r="H345" s="35">
        <v>99.731201727190182</v>
      </c>
      <c r="I345" s="34">
        <v>7420524</v>
      </c>
      <c r="J345" s="46">
        <v>20000</v>
      </c>
    </row>
    <row r="346" spans="1:10" s="58" customFormat="1" ht="68.25" customHeight="1" x14ac:dyDescent="0.2">
      <c r="A346" s="16"/>
      <c r="B346" s="16"/>
      <c r="C346" s="16"/>
      <c r="D346" s="16"/>
      <c r="E346" s="17"/>
      <c r="F346" s="18" t="s">
        <v>468</v>
      </c>
      <c r="G346" s="34">
        <v>5375579</v>
      </c>
      <c r="H346" s="35">
        <v>99.627947054633552</v>
      </c>
      <c r="I346" s="34">
        <v>5355579</v>
      </c>
      <c r="J346" s="46">
        <v>20000</v>
      </c>
    </row>
    <row r="347" spans="1:10" s="58" customFormat="1" ht="45" x14ac:dyDescent="0.2">
      <c r="A347" s="16"/>
      <c r="B347" s="16"/>
      <c r="C347" s="16"/>
      <c r="D347" s="16"/>
      <c r="E347" s="17"/>
      <c r="F347" s="18" t="s">
        <v>469</v>
      </c>
      <c r="G347" s="34">
        <v>4338231</v>
      </c>
      <c r="H347" s="35">
        <v>99.538982594518359</v>
      </c>
      <c r="I347" s="34">
        <v>4318231</v>
      </c>
      <c r="J347" s="46">
        <v>20000</v>
      </c>
    </row>
    <row r="348" spans="1:10" s="58" customFormat="1" ht="45" x14ac:dyDescent="0.2">
      <c r="A348" s="16"/>
      <c r="B348" s="16"/>
      <c r="C348" s="16"/>
      <c r="D348" s="16"/>
      <c r="E348" s="17"/>
      <c r="F348" s="18" t="s">
        <v>470</v>
      </c>
      <c r="G348" s="34">
        <v>4902303</v>
      </c>
      <c r="H348" s="35">
        <v>99.592028481307665</v>
      </c>
      <c r="I348" s="34">
        <v>4882303</v>
      </c>
      <c r="J348" s="46">
        <v>20000</v>
      </c>
    </row>
    <row r="349" spans="1:10" s="58" customFormat="1" ht="45" x14ac:dyDescent="0.2">
      <c r="A349" s="16"/>
      <c r="B349" s="16"/>
      <c r="C349" s="16"/>
      <c r="D349" s="16"/>
      <c r="E349" s="17"/>
      <c r="F349" s="18" t="s">
        <v>471</v>
      </c>
      <c r="G349" s="34">
        <v>6839275</v>
      </c>
      <c r="H349" s="35">
        <v>99.707571343453807</v>
      </c>
      <c r="I349" s="34">
        <v>6819275</v>
      </c>
      <c r="J349" s="46">
        <v>20000</v>
      </c>
    </row>
    <row r="350" spans="1:10" s="58" customFormat="1" ht="45" x14ac:dyDescent="0.2">
      <c r="A350" s="16"/>
      <c r="B350" s="16"/>
      <c r="C350" s="16"/>
      <c r="D350" s="16"/>
      <c r="E350" s="17"/>
      <c r="F350" s="18" t="s">
        <v>472</v>
      </c>
      <c r="G350" s="34">
        <v>175385148</v>
      </c>
      <c r="H350" s="35">
        <v>47.2</v>
      </c>
      <c r="I350" s="34">
        <v>82762526</v>
      </c>
      <c r="J350" s="46">
        <f>7000000-2000000+1030000</f>
        <v>6030000</v>
      </c>
    </row>
    <row r="351" spans="1:10" s="58" customFormat="1" ht="45" x14ac:dyDescent="0.2">
      <c r="A351" s="16"/>
      <c r="B351" s="16"/>
      <c r="C351" s="16"/>
      <c r="D351" s="16"/>
      <c r="E351" s="17"/>
      <c r="F351" s="18" t="s">
        <v>473</v>
      </c>
      <c r="G351" s="34">
        <v>209098</v>
      </c>
      <c r="H351" s="35">
        <v>0</v>
      </c>
      <c r="I351" s="34">
        <v>0</v>
      </c>
      <c r="J351" s="46">
        <f>240000-30902</f>
        <v>209098</v>
      </c>
    </row>
    <row r="352" spans="1:10" s="58" customFormat="1" ht="60.75" customHeight="1" x14ac:dyDescent="0.2">
      <c r="A352" s="16"/>
      <c r="B352" s="16"/>
      <c r="C352" s="16"/>
      <c r="D352" s="16"/>
      <c r="E352" s="17"/>
      <c r="F352" s="18" t="s">
        <v>474</v>
      </c>
      <c r="G352" s="34">
        <v>176526702</v>
      </c>
      <c r="H352" s="35">
        <v>57.6</v>
      </c>
      <c r="I352" s="34">
        <v>101743276</v>
      </c>
      <c r="J352" s="46">
        <f>4000000+15000000+25000000-3911226</f>
        <v>40088774</v>
      </c>
    </row>
    <row r="353" spans="1:10" s="58" customFormat="1" ht="54.75" customHeight="1" x14ac:dyDescent="0.2">
      <c r="A353" s="16"/>
      <c r="B353" s="16"/>
      <c r="C353" s="16"/>
      <c r="D353" s="16"/>
      <c r="E353" s="17"/>
      <c r="F353" s="18" t="s">
        <v>475</v>
      </c>
      <c r="G353" s="91">
        <v>1200000</v>
      </c>
      <c r="H353" s="131"/>
      <c r="I353" s="91"/>
      <c r="J353" s="34">
        <f>200000+1000000</f>
        <v>1200000</v>
      </c>
    </row>
    <row r="354" spans="1:10" s="58" customFormat="1" ht="60.75" customHeight="1" x14ac:dyDescent="0.2">
      <c r="A354" s="16"/>
      <c r="B354" s="16"/>
      <c r="C354" s="16"/>
      <c r="D354" s="16"/>
      <c r="E354" s="17"/>
      <c r="F354" s="18" t="s">
        <v>476</v>
      </c>
      <c r="G354" s="34">
        <v>211618</v>
      </c>
      <c r="H354" s="35">
        <v>0</v>
      </c>
      <c r="I354" s="34">
        <v>0</v>
      </c>
      <c r="J354" s="46">
        <f>211618</f>
        <v>211618</v>
      </c>
    </row>
    <row r="355" spans="1:10" s="58" customFormat="1" ht="111.75" customHeight="1" x14ac:dyDescent="0.2">
      <c r="A355" s="16"/>
      <c r="B355" s="16"/>
      <c r="C355" s="16"/>
      <c r="D355" s="16"/>
      <c r="E355" s="89"/>
      <c r="F355" s="17" t="s">
        <v>477</v>
      </c>
      <c r="G355" s="101">
        <v>94734099</v>
      </c>
      <c r="H355" s="35">
        <v>92.7</v>
      </c>
      <c r="I355" s="34">
        <v>87795216</v>
      </c>
      <c r="J355" s="46">
        <f>5735800-5235800+498997+975978-474900+400000</f>
        <v>1900075</v>
      </c>
    </row>
    <row r="356" spans="1:10" s="58" customFormat="1" ht="60" x14ac:dyDescent="0.2">
      <c r="A356" s="16"/>
      <c r="B356" s="16"/>
      <c r="C356" s="16"/>
      <c r="D356" s="16"/>
      <c r="E356" s="17"/>
      <c r="F356" s="66" t="s">
        <v>478</v>
      </c>
      <c r="G356" s="34">
        <v>9545065</v>
      </c>
      <c r="H356" s="35">
        <v>96.3</v>
      </c>
      <c r="I356" s="34">
        <v>9195135</v>
      </c>
      <c r="J356" s="46">
        <f>1818000-1718000</f>
        <v>100000</v>
      </c>
    </row>
    <row r="357" spans="1:10" s="58" customFormat="1" ht="63.75" customHeight="1" x14ac:dyDescent="0.2">
      <c r="A357" s="16"/>
      <c r="B357" s="16"/>
      <c r="C357" s="16"/>
      <c r="D357" s="16"/>
      <c r="E357" s="17"/>
      <c r="F357" s="18" t="s">
        <v>479</v>
      </c>
      <c r="G357" s="34">
        <v>49796149</v>
      </c>
      <c r="H357" s="35">
        <v>5</v>
      </c>
      <c r="I357" s="34">
        <v>2494195</v>
      </c>
      <c r="J357" s="46">
        <f>8000000+8500000+6400000+10000000+2900000+18000</f>
        <v>35818000</v>
      </c>
    </row>
    <row r="358" spans="1:10" s="58" customFormat="1" ht="63.75" customHeight="1" x14ac:dyDescent="0.2">
      <c r="A358" s="16"/>
      <c r="B358" s="16"/>
      <c r="C358" s="16"/>
      <c r="D358" s="16"/>
      <c r="E358" s="17"/>
      <c r="F358" s="18" t="s">
        <v>480</v>
      </c>
      <c r="G358" s="34">
        <v>7000000</v>
      </c>
      <c r="H358" s="35">
        <v>96.4</v>
      </c>
      <c r="I358" s="34">
        <v>6749715</v>
      </c>
      <c r="J358" s="46">
        <f>200000+616285-200000-366000</f>
        <v>250285</v>
      </c>
    </row>
    <row r="359" spans="1:10" s="58" customFormat="1" ht="75" x14ac:dyDescent="0.2">
      <c r="A359" s="16"/>
      <c r="B359" s="16"/>
      <c r="C359" s="16"/>
      <c r="D359" s="16"/>
      <c r="E359" s="17"/>
      <c r="F359" s="18" t="s">
        <v>481</v>
      </c>
      <c r="G359" s="34">
        <v>4377323</v>
      </c>
      <c r="H359" s="35">
        <v>5.8</v>
      </c>
      <c r="I359" s="34">
        <v>254077</v>
      </c>
      <c r="J359" s="46">
        <f>1200000+3220000-254077</f>
        <v>4165923</v>
      </c>
    </row>
    <row r="360" spans="1:10" s="58" customFormat="1" ht="43.5" customHeight="1" x14ac:dyDescent="0.2">
      <c r="A360" s="16"/>
      <c r="B360" s="16"/>
      <c r="C360" s="16"/>
      <c r="D360" s="16"/>
      <c r="E360" s="17"/>
      <c r="F360" s="66" t="s">
        <v>482</v>
      </c>
      <c r="G360" s="34">
        <v>3353838</v>
      </c>
      <c r="H360" s="35">
        <v>1.6</v>
      </c>
      <c r="I360" s="34">
        <v>54376</v>
      </c>
      <c r="J360" s="46">
        <f>305787-304376+250000</f>
        <v>251411</v>
      </c>
    </row>
    <row r="361" spans="1:10" s="58" customFormat="1" ht="15" customHeight="1" x14ac:dyDescent="0.2">
      <c r="A361" s="16"/>
      <c r="B361" s="16"/>
      <c r="C361" s="16"/>
      <c r="D361" s="16"/>
      <c r="E361" s="17"/>
      <c r="F361" s="31" t="s">
        <v>286</v>
      </c>
      <c r="G361" s="34"/>
      <c r="H361" s="35"/>
      <c r="I361" s="34"/>
      <c r="J361" s="46">
        <v>1411</v>
      </c>
    </row>
    <row r="362" spans="1:10" s="58" customFormat="1" ht="40.5" customHeight="1" x14ac:dyDescent="0.2">
      <c r="A362" s="16"/>
      <c r="B362" s="16"/>
      <c r="C362" s="16"/>
      <c r="D362" s="16"/>
      <c r="E362" s="17"/>
      <c r="F362" s="31" t="s">
        <v>483</v>
      </c>
      <c r="G362" s="34">
        <v>2796136</v>
      </c>
      <c r="H362" s="35">
        <v>12.8</v>
      </c>
      <c r="I362" s="34">
        <v>358066</v>
      </c>
      <c r="J362" s="46">
        <f>125034+45007+3729959-2900000+1796000-320044-116500</f>
        <v>2359456</v>
      </c>
    </row>
    <row r="363" spans="1:10" s="58" customFormat="1" ht="30" x14ac:dyDescent="0.2">
      <c r="A363" s="16"/>
      <c r="B363" s="16"/>
      <c r="C363" s="16"/>
      <c r="D363" s="16"/>
      <c r="E363" s="17"/>
      <c r="F363" s="18" t="s">
        <v>484</v>
      </c>
      <c r="G363" s="34">
        <v>117425881</v>
      </c>
      <c r="H363" s="35">
        <v>87.5</v>
      </c>
      <c r="I363" s="34">
        <v>102790272</v>
      </c>
      <c r="J363" s="46">
        <f>29000000-17000000-2500000+4500000</f>
        <v>14000000</v>
      </c>
    </row>
    <row r="364" spans="1:10" s="58" customFormat="1" ht="18.75" customHeight="1" x14ac:dyDescent="0.2">
      <c r="A364" s="16"/>
      <c r="B364" s="16"/>
      <c r="C364" s="16"/>
      <c r="D364" s="16"/>
      <c r="E364" s="17"/>
      <c r="F364" s="18" t="s">
        <v>485</v>
      </c>
      <c r="G364" s="34">
        <v>52575830</v>
      </c>
      <c r="H364" s="35">
        <v>3</v>
      </c>
      <c r="I364" s="34">
        <v>1582884</v>
      </c>
      <c r="J364" s="46">
        <f>600000+3694213+1560000-550000</f>
        <v>5304213</v>
      </c>
    </row>
    <row r="365" spans="1:10" s="58" customFormat="1" ht="30" x14ac:dyDescent="0.2">
      <c r="A365" s="16"/>
      <c r="B365" s="16"/>
      <c r="C365" s="16"/>
      <c r="D365" s="16"/>
      <c r="E365" s="17"/>
      <c r="F365" s="18" t="s">
        <v>486</v>
      </c>
      <c r="G365" s="34">
        <v>300000000</v>
      </c>
      <c r="H365" s="35">
        <v>99.9</v>
      </c>
      <c r="I365" s="34">
        <v>299749193</v>
      </c>
      <c r="J365" s="46">
        <f>100000-70622</f>
        <v>29378</v>
      </c>
    </row>
    <row r="366" spans="1:10" s="58" customFormat="1" ht="41.25" customHeight="1" x14ac:dyDescent="0.2">
      <c r="A366" s="16"/>
      <c r="B366" s="16"/>
      <c r="C366" s="16"/>
      <c r="D366" s="16"/>
      <c r="E366" s="17"/>
      <c r="F366" s="18" t="s">
        <v>487</v>
      </c>
      <c r="G366" s="34">
        <v>114613</v>
      </c>
      <c r="H366" s="35">
        <v>3.4</v>
      </c>
      <c r="I366" s="34">
        <v>3939</v>
      </c>
      <c r="J366" s="46">
        <f>315000-213739+9413</f>
        <v>110674</v>
      </c>
    </row>
    <row r="367" spans="1:10" s="58" customFormat="1" ht="41.25" customHeight="1" x14ac:dyDescent="0.2">
      <c r="A367" s="16"/>
      <c r="B367" s="16"/>
      <c r="C367" s="16"/>
      <c r="D367" s="16"/>
      <c r="E367" s="17"/>
      <c r="F367" s="18" t="s">
        <v>488</v>
      </c>
      <c r="G367" s="34">
        <v>4435363</v>
      </c>
      <c r="H367" s="35">
        <v>10.1</v>
      </c>
      <c r="I367" s="34">
        <v>446963</v>
      </c>
      <c r="J367" s="46">
        <f>3931204+18796+230000-191600</f>
        <v>3988400</v>
      </c>
    </row>
    <row r="368" spans="1:10" s="58" customFormat="1" ht="41.25" customHeight="1" x14ac:dyDescent="0.2">
      <c r="A368" s="16"/>
      <c r="B368" s="16"/>
      <c r="C368" s="16"/>
      <c r="D368" s="16"/>
      <c r="E368" s="17"/>
      <c r="F368" s="18" t="s">
        <v>489</v>
      </c>
      <c r="G368" s="34">
        <v>10000000</v>
      </c>
      <c r="H368" s="35">
        <v>95.4</v>
      </c>
      <c r="I368" s="34">
        <v>9535660</v>
      </c>
      <c r="J368" s="46">
        <f>2700000-1446204-1000000+250544-20000-20000</f>
        <v>464340</v>
      </c>
    </row>
    <row r="369" spans="1:10" s="58" customFormat="1" ht="71.25" customHeight="1" x14ac:dyDescent="0.2">
      <c r="A369" s="16"/>
      <c r="B369" s="16"/>
      <c r="C369" s="16"/>
      <c r="D369" s="16"/>
      <c r="E369" s="17"/>
      <c r="F369" s="18" t="s">
        <v>490</v>
      </c>
      <c r="G369" s="34">
        <v>41760169</v>
      </c>
      <c r="H369" s="35">
        <v>22.9</v>
      </c>
      <c r="I369" s="34">
        <v>9572629</v>
      </c>
      <c r="J369" s="46">
        <f>79093+55819+3200000+95476-2000000+378800</f>
        <v>1809188</v>
      </c>
    </row>
    <row r="370" spans="1:10" s="58" customFormat="1" ht="77.25" customHeight="1" x14ac:dyDescent="0.2">
      <c r="A370" s="16"/>
      <c r="B370" s="16"/>
      <c r="C370" s="16"/>
      <c r="D370" s="16"/>
      <c r="E370" s="17"/>
      <c r="F370" s="32" t="s">
        <v>491</v>
      </c>
      <c r="G370" s="34">
        <v>4162032</v>
      </c>
      <c r="H370" s="35">
        <v>26.4</v>
      </c>
      <c r="I370" s="34">
        <v>1099611</v>
      </c>
      <c r="J370" s="46">
        <f>581342+228802+1600000+600000-1510144-500000-147750</f>
        <v>852250</v>
      </c>
    </row>
    <row r="371" spans="1:10" s="58" customFormat="1" ht="45" customHeight="1" x14ac:dyDescent="0.2">
      <c r="A371" s="16"/>
      <c r="B371" s="16"/>
      <c r="C371" s="16"/>
      <c r="D371" s="16"/>
      <c r="E371" s="17"/>
      <c r="F371" s="32" t="s">
        <v>492</v>
      </c>
      <c r="G371" s="34">
        <v>20326651</v>
      </c>
      <c r="H371" s="35">
        <v>1.7</v>
      </c>
      <c r="I371" s="34">
        <v>351145</v>
      </c>
      <c r="J371" s="46">
        <f>6464355-1100000+748855</f>
        <v>6113210</v>
      </c>
    </row>
    <row r="372" spans="1:10" s="58" customFormat="1" ht="60" x14ac:dyDescent="0.2">
      <c r="A372" s="16"/>
      <c r="B372" s="16"/>
      <c r="C372" s="16"/>
      <c r="D372" s="16"/>
      <c r="E372" s="17"/>
      <c r="F372" s="66" t="s">
        <v>493</v>
      </c>
      <c r="G372" s="34">
        <v>23261438</v>
      </c>
      <c r="H372" s="35">
        <v>51.5</v>
      </c>
      <c r="I372" s="34">
        <v>11975866</v>
      </c>
      <c r="J372" s="46">
        <f>860000+3000000+6140000</f>
        <v>10000000</v>
      </c>
    </row>
    <row r="373" spans="1:10" s="58" customFormat="1" ht="57" customHeight="1" x14ac:dyDescent="0.2">
      <c r="A373" s="16"/>
      <c r="B373" s="16"/>
      <c r="C373" s="16"/>
      <c r="D373" s="16"/>
      <c r="E373" s="17"/>
      <c r="F373" s="32" t="s">
        <v>494</v>
      </c>
      <c r="G373" s="34">
        <v>208216866</v>
      </c>
      <c r="H373" s="35">
        <v>100</v>
      </c>
      <c r="I373" s="34">
        <v>208114298</v>
      </c>
      <c r="J373" s="46">
        <f>150000-40000-7432</f>
        <v>102568</v>
      </c>
    </row>
    <row r="374" spans="1:10" s="58" customFormat="1" ht="92.25" customHeight="1" x14ac:dyDescent="0.2">
      <c r="A374" s="16"/>
      <c r="B374" s="16"/>
      <c r="C374" s="16"/>
      <c r="D374" s="16"/>
      <c r="E374" s="17"/>
      <c r="F374" s="32" t="s">
        <v>495</v>
      </c>
      <c r="G374" s="34">
        <v>109893832</v>
      </c>
      <c r="H374" s="35">
        <v>2.2000000000000002</v>
      </c>
      <c r="I374" s="34">
        <v>2431203</v>
      </c>
      <c r="J374" s="46">
        <f>520000+880000-665428+277112</f>
        <v>1011684</v>
      </c>
    </row>
    <row r="375" spans="1:10" s="58" customFormat="1" ht="45" x14ac:dyDescent="0.2">
      <c r="A375" s="16"/>
      <c r="B375" s="16"/>
      <c r="C375" s="16"/>
      <c r="D375" s="16"/>
      <c r="E375" s="17"/>
      <c r="F375" s="32" t="s">
        <v>496</v>
      </c>
      <c r="G375" s="34">
        <v>200000000</v>
      </c>
      <c r="H375" s="35">
        <v>98.6</v>
      </c>
      <c r="I375" s="34">
        <v>197203279</v>
      </c>
      <c r="J375" s="46">
        <v>250000</v>
      </c>
    </row>
    <row r="376" spans="1:10" s="58" customFormat="1" ht="60" x14ac:dyDescent="0.2">
      <c r="A376" s="16"/>
      <c r="B376" s="16"/>
      <c r="C376" s="16"/>
      <c r="D376" s="16"/>
      <c r="E376" s="17"/>
      <c r="F376" s="66" t="s">
        <v>497</v>
      </c>
      <c r="G376" s="34">
        <v>79943725</v>
      </c>
      <c r="H376" s="35">
        <v>46.9</v>
      </c>
      <c r="I376" s="34">
        <v>37504256</v>
      </c>
      <c r="J376" s="46">
        <f>4000000+2000000-378280</f>
        <v>5621720</v>
      </c>
    </row>
    <row r="377" spans="1:10" s="58" customFormat="1" ht="63" customHeight="1" x14ac:dyDescent="0.2">
      <c r="A377" s="16"/>
      <c r="B377" s="16"/>
      <c r="C377" s="16"/>
      <c r="D377" s="16"/>
      <c r="E377" s="17"/>
      <c r="F377" s="18" t="s">
        <v>498</v>
      </c>
      <c r="G377" s="34">
        <v>21420937</v>
      </c>
      <c r="H377" s="35"/>
      <c r="I377" s="34"/>
      <c r="J377" s="46">
        <f>181388+6000+225711+60000</f>
        <v>473099</v>
      </c>
    </row>
    <row r="378" spans="1:10" s="58" customFormat="1" ht="33.75" customHeight="1" x14ac:dyDescent="0.2">
      <c r="A378" s="16"/>
      <c r="B378" s="16"/>
      <c r="C378" s="16"/>
      <c r="D378" s="16"/>
      <c r="E378" s="17"/>
      <c r="F378" s="18" t="s">
        <v>499</v>
      </c>
      <c r="G378" s="34">
        <v>45378990</v>
      </c>
      <c r="H378" s="35">
        <v>3.7</v>
      </c>
      <c r="I378" s="34">
        <v>1669871</v>
      </c>
      <c r="J378" s="46">
        <f>2273966+667500-520370-15404</f>
        <v>2405692</v>
      </c>
    </row>
    <row r="379" spans="1:10" s="58" customFormat="1" ht="33.75" customHeight="1" x14ac:dyDescent="0.2">
      <c r="A379" s="16"/>
      <c r="B379" s="16"/>
      <c r="C379" s="16"/>
      <c r="D379" s="16"/>
      <c r="E379" s="17"/>
      <c r="F379" s="18" t="s">
        <v>500</v>
      </c>
      <c r="G379" s="34">
        <v>200000000</v>
      </c>
      <c r="H379" s="35">
        <v>97</v>
      </c>
      <c r="I379" s="34">
        <v>19400000</v>
      </c>
      <c r="J379" s="46">
        <v>600000</v>
      </c>
    </row>
    <row r="380" spans="1:10" s="58" customFormat="1" ht="33.75" customHeight="1" x14ac:dyDescent="0.2">
      <c r="A380" s="16"/>
      <c r="B380" s="16"/>
      <c r="C380" s="16"/>
      <c r="D380" s="16"/>
      <c r="E380" s="17"/>
      <c r="F380" s="18" t="s">
        <v>501</v>
      </c>
      <c r="G380" s="34">
        <v>20000000</v>
      </c>
      <c r="H380" s="35">
        <v>98.5</v>
      </c>
      <c r="I380" s="34">
        <v>19700000</v>
      </c>
      <c r="J380" s="46">
        <f>600000-300000</f>
        <v>300000</v>
      </c>
    </row>
    <row r="381" spans="1:10" s="58" customFormat="1" ht="39.75" customHeight="1" x14ac:dyDescent="0.2">
      <c r="A381" s="16"/>
      <c r="B381" s="16"/>
      <c r="C381" s="16"/>
      <c r="D381" s="16"/>
      <c r="E381" s="17"/>
      <c r="F381" s="18" t="s">
        <v>502</v>
      </c>
      <c r="G381" s="34">
        <v>10147502</v>
      </c>
      <c r="H381" s="35">
        <v>61.1</v>
      </c>
      <c r="I381" s="34">
        <v>6195941</v>
      </c>
      <c r="J381" s="46">
        <f>3500000+1500000-1048439</f>
        <v>3951561</v>
      </c>
    </row>
    <row r="382" spans="1:10" s="58" customFormat="1" ht="33.75" customHeight="1" x14ac:dyDescent="0.2">
      <c r="A382" s="16"/>
      <c r="B382" s="16"/>
      <c r="C382" s="16"/>
      <c r="D382" s="16"/>
      <c r="E382" s="17"/>
      <c r="F382" s="18" t="s">
        <v>503</v>
      </c>
      <c r="G382" s="34">
        <v>8615043</v>
      </c>
      <c r="H382" s="35">
        <v>49.2</v>
      </c>
      <c r="I382" s="34">
        <v>4237451</v>
      </c>
      <c r="J382" s="46">
        <f>4000000+1000000-622408</f>
        <v>4377592</v>
      </c>
    </row>
    <row r="383" spans="1:10" s="58" customFormat="1" ht="53.25" customHeight="1" x14ac:dyDescent="0.2">
      <c r="A383" s="16"/>
      <c r="B383" s="16"/>
      <c r="C383" s="16"/>
      <c r="D383" s="16"/>
      <c r="E383" s="17"/>
      <c r="F383" s="18" t="s">
        <v>504</v>
      </c>
      <c r="G383" s="34">
        <v>59774010</v>
      </c>
      <c r="H383" s="35">
        <v>79.900000000000006</v>
      </c>
      <c r="I383" s="34">
        <v>47774010</v>
      </c>
      <c r="J383" s="46">
        <f>5000000+10000000+3000000-3000000-3000000</f>
        <v>12000000</v>
      </c>
    </row>
    <row r="384" spans="1:10" s="58" customFormat="1" ht="47.25" customHeight="1" x14ac:dyDescent="0.2">
      <c r="A384" s="16"/>
      <c r="B384" s="16"/>
      <c r="C384" s="16"/>
      <c r="D384" s="16"/>
      <c r="E384" s="17"/>
      <c r="F384" s="18" t="s">
        <v>505</v>
      </c>
      <c r="G384" s="34">
        <v>25771192</v>
      </c>
      <c r="H384" s="35">
        <v>60.2</v>
      </c>
      <c r="I384" s="34">
        <v>15525292</v>
      </c>
      <c r="J384" s="46">
        <f>4300000+5945900</f>
        <v>10245900</v>
      </c>
    </row>
    <row r="385" spans="1:10" s="58" customFormat="1" ht="30" x14ac:dyDescent="0.2">
      <c r="A385" s="16"/>
      <c r="B385" s="16"/>
      <c r="C385" s="16"/>
      <c r="D385" s="16"/>
      <c r="E385" s="17"/>
      <c r="F385" s="18" t="s">
        <v>506</v>
      </c>
      <c r="G385" s="34">
        <v>12445888</v>
      </c>
      <c r="H385" s="35">
        <v>38.1</v>
      </c>
      <c r="I385" s="34">
        <v>4739633</v>
      </c>
      <c r="J385" s="46">
        <f>10000000+2445800-583040-156505-4000000</f>
        <v>7706255</v>
      </c>
    </row>
    <row r="386" spans="1:10" s="58" customFormat="1" ht="54.75" customHeight="1" x14ac:dyDescent="0.2">
      <c r="A386" s="16"/>
      <c r="B386" s="16"/>
      <c r="C386" s="16"/>
      <c r="D386" s="16"/>
      <c r="E386" s="17"/>
      <c r="F386" s="18" t="s">
        <v>507</v>
      </c>
      <c r="G386" s="34">
        <v>36137592</v>
      </c>
      <c r="H386" s="35">
        <v>71.7</v>
      </c>
      <c r="I386" s="34">
        <v>25903131</v>
      </c>
      <c r="J386" s="46">
        <f>10741278+100000-606817</f>
        <v>10234461</v>
      </c>
    </row>
    <row r="387" spans="1:10" s="58" customFormat="1" ht="18.75" customHeight="1" x14ac:dyDescent="0.2">
      <c r="A387" s="16"/>
      <c r="B387" s="16"/>
      <c r="C387" s="16"/>
      <c r="D387" s="16"/>
      <c r="E387" s="17"/>
      <c r="F387" s="22" t="s">
        <v>232</v>
      </c>
      <c r="G387" s="34"/>
      <c r="H387" s="35"/>
      <c r="I387" s="34"/>
      <c r="J387" s="47">
        <v>9034398</v>
      </c>
    </row>
    <row r="388" spans="1:10" s="58" customFormat="1" ht="47.25" customHeight="1" x14ac:dyDescent="0.2">
      <c r="A388" s="16"/>
      <c r="B388" s="16"/>
      <c r="C388" s="16"/>
      <c r="D388" s="16"/>
      <c r="E388" s="17"/>
      <c r="F388" s="18" t="s">
        <v>508</v>
      </c>
      <c r="G388" s="34">
        <v>3996458</v>
      </c>
      <c r="H388" s="35">
        <v>10.33244938392947</v>
      </c>
      <c r="I388" s="34">
        <v>412932</v>
      </c>
      <c r="J388" s="46">
        <f>4000000-416474</f>
        <v>3583526</v>
      </c>
    </row>
    <row r="389" spans="1:10" s="58" customFormat="1" ht="66" customHeight="1" x14ac:dyDescent="0.2">
      <c r="A389" s="16"/>
      <c r="B389" s="16"/>
      <c r="C389" s="16"/>
      <c r="D389" s="16"/>
      <c r="E389" s="17"/>
      <c r="F389" s="18" t="s">
        <v>509</v>
      </c>
      <c r="G389" s="34">
        <v>76887116</v>
      </c>
      <c r="H389" s="35">
        <v>61.7</v>
      </c>
      <c r="I389" s="34">
        <v>47463347</v>
      </c>
      <c r="J389" s="46">
        <f>3995607+22289600+3000000+100000</f>
        <v>29385207</v>
      </c>
    </row>
    <row r="390" spans="1:10" s="60" customFormat="1" ht="15" x14ac:dyDescent="0.2">
      <c r="A390" s="20"/>
      <c r="B390" s="20"/>
      <c r="C390" s="20"/>
      <c r="D390" s="20"/>
      <c r="E390" s="21"/>
      <c r="F390" s="22" t="s">
        <v>232</v>
      </c>
      <c r="G390" s="38"/>
      <c r="H390" s="39"/>
      <c r="I390" s="38"/>
      <c r="J390" s="47">
        <f>3995607+22289600+3000000</f>
        <v>29285207</v>
      </c>
    </row>
    <row r="391" spans="1:10" s="60" customFormat="1" ht="60" x14ac:dyDescent="0.2">
      <c r="A391" s="16"/>
      <c r="B391" s="16"/>
      <c r="C391" s="16"/>
      <c r="D391" s="16"/>
      <c r="E391" s="17"/>
      <c r="F391" s="18" t="s">
        <v>510</v>
      </c>
      <c r="G391" s="34">
        <v>93128879</v>
      </c>
      <c r="H391" s="35">
        <v>73.400000000000006</v>
      </c>
      <c r="I391" s="34">
        <v>68320271</v>
      </c>
      <c r="J391" s="46">
        <f>685000+100000+27715348-4187872</f>
        <v>24312476</v>
      </c>
    </row>
    <row r="392" spans="1:10" s="60" customFormat="1" ht="18.75" customHeight="1" x14ac:dyDescent="0.2">
      <c r="A392" s="16"/>
      <c r="B392" s="16"/>
      <c r="C392" s="16"/>
      <c r="D392" s="16"/>
      <c r="E392" s="17"/>
      <c r="F392" s="22" t="s">
        <v>232</v>
      </c>
      <c r="G392" s="34"/>
      <c r="H392" s="35"/>
      <c r="I392" s="34"/>
      <c r="J392" s="47">
        <v>23096123</v>
      </c>
    </row>
    <row r="393" spans="1:10" s="58" customFormat="1" ht="45" x14ac:dyDescent="0.2">
      <c r="A393" s="16"/>
      <c r="B393" s="16"/>
      <c r="C393" s="16"/>
      <c r="D393" s="16"/>
      <c r="E393" s="17"/>
      <c r="F393" s="18" t="s">
        <v>511</v>
      </c>
      <c r="G393" s="34">
        <v>2541389</v>
      </c>
      <c r="H393" s="35">
        <v>8</v>
      </c>
      <c r="I393" s="34">
        <v>202314</v>
      </c>
      <c r="J393" s="46">
        <f>739005+1580070+20000</f>
        <v>2339075</v>
      </c>
    </row>
    <row r="394" spans="1:10" s="58" customFormat="1" ht="15" x14ac:dyDescent="0.2">
      <c r="A394" s="16"/>
      <c r="B394" s="16"/>
      <c r="C394" s="16"/>
      <c r="D394" s="16"/>
      <c r="E394" s="17"/>
      <c r="F394" s="22" t="s">
        <v>232</v>
      </c>
      <c r="G394" s="34"/>
      <c r="H394" s="35"/>
      <c r="I394" s="34"/>
      <c r="J394" s="47">
        <f>739005+1580070</f>
        <v>2319075</v>
      </c>
    </row>
    <row r="395" spans="1:10" s="58" customFormat="1" ht="30" x14ac:dyDescent="0.2">
      <c r="A395" s="16"/>
      <c r="B395" s="16"/>
      <c r="C395" s="16"/>
      <c r="D395" s="16"/>
      <c r="E395" s="17"/>
      <c r="F395" s="18" t="s">
        <v>512</v>
      </c>
      <c r="G395" s="34">
        <v>6649709</v>
      </c>
      <c r="H395" s="35">
        <v>67.2</v>
      </c>
      <c r="I395" s="34">
        <v>4467500</v>
      </c>
      <c r="J395" s="46">
        <f>766189+5883520-4467500</f>
        <v>2182209</v>
      </c>
    </row>
    <row r="396" spans="1:10" s="58" customFormat="1" ht="15" x14ac:dyDescent="0.2">
      <c r="A396" s="16"/>
      <c r="B396" s="16"/>
      <c r="C396" s="16"/>
      <c r="D396" s="16"/>
      <c r="E396" s="17"/>
      <c r="F396" s="22" t="s">
        <v>232</v>
      </c>
      <c r="G396" s="34"/>
      <c r="H396" s="35"/>
      <c r="I396" s="34"/>
      <c r="J396" s="47">
        <f>766189+5883520-4467500</f>
        <v>2182209</v>
      </c>
    </row>
    <row r="397" spans="1:10" s="58" customFormat="1" ht="30" x14ac:dyDescent="0.2">
      <c r="A397" s="16"/>
      <c r="B397" s="16"/>
      <c r="C397" s="16"/>
      <c r="D397" s="16"/>
      <c r="E397" s="17"/>
      <c r="F397" s="18" t="s">
        <v>513</v>
      </c>
      <c r="G397" s="34">
        <v>5811900</v>
      </c>
      <c r="H397" s="35">
        <v>0</v>
      </c>
      <c r="I397" s="34">
        <v>0</v>
      </c>
      <c r="J397" s="46">
        <f>497120+5314780</f>
        <v>5811900</v>
      </c>
    </row>
    <row r="398" spans="1:10" s="58" customFormat="1" ht="15" x14ac:dyDescent="0.2">
      <c r="A398" s="16"/>
      <c r="B398" s="16"/>
      <c r="C398" s="16"/>
      <c r="D398" s="16"/>
      <c r="E398" s="17"/>
      <c r="F398" s="22" t="s">
        <v>232</v>
      </c>
      <c r="G398" s="34"/>
      <c r="H398" s="35"/>
      <c r="I398" s="34"/>
      <c r="J398" s="47">
        <f>497120+5314780</f>
        <v>5811900</v>
      </c>
    </row>
    <row r="399" spans="1:10" s="58" customFormat="1" ht="45" x14ac:dyDescent="0.2">
      <c r="A399" s="16"/>
      <c r="B399" s="16"/>
      <c r="C399" s="16"/>
      <c r="D399" s="16"/>
      <c r="E399" s="17"/>
      <c r="F399" s="17" t="s">
        <v>514</v>
      </c>
      <c r="G399" s="34">
        <v>8017174</v>
      </c>
      <c r="H399" s="35">
        <v>24.9</v>
      </c>
      <c r="I399" s="34">
        <v>2000000</v>
      </c>
      <c r="J399" s="46">
        <f>200000+10000000-2182826-2000000</f>
        <v>6017174</v>
      </c>
    </row>
    <row r="400" spans="1:10" s="58" customFormat="1" ht="45" x14ac:dyDescent="0.2">
      <c r="A400" s="16"/>
      <c r="B400" s="16"/>
      <c r="C400" s="16"/>
      <c r="D400" s="16"/>
      <c r="E400" s="17"/>
      <c r="F400" s="17" t="s">
        <v>515</v>
      </c>
      <c r="G400" s="34">
        <v>50000000</v>
      </c>
      <c r="H400" s="35">
        <v>98.8</v>
      </c>
      <c r="I400" s="34">
        <v>49408248</v>
      </c>
      <c r="J400" s="46">
        <f>200000+764567+147185+80000-600000</f>
        <v>591752</v>
      </c>
    </row>
    <row r="401" spans="1:10" s="58" customFormat="1" ht="30" x14ac:dyDescent="0.2">
      <c r="A401" s="16"/>
      <c r="B401" s="16"/>
      <c r="C401" s="16"/>
      <c r="D401" s="16"/>
      <c r="E401" s="17"/>
      <c r="F401" s="68" t="s">
        <v>516</v>
      </c>
      <c r="G401" s="34">
        <v>80000000</v>
      </c>
      <c r="H401" s="35">
        <v>98.4</v>
      </c>
      <c r="I401" s="34">
        <v>78736616</v>
      </c>
      <c r="J401" s="46">
        <f>100000+1334789+100000-271405</f>
        <v>1263384</v>
      </c>
    </row>
    <row r="402" spans="1:10" s="58" customFormat="1" ht="90" x14ac:dyDescent="0.2">
      <c r="A402" s="16"/>
      <c r="B402" s="16"/>
      <c r="C402" s="16"/>
      <c r="D402" s="16"/>
      <c r="E402" s="17"/>
      <c r="F402" s="17" t="s">
        <v>517</v>
      </c>
      <c r="G402" s="34">
        <v>6992914</v>
      </c>
      <c r="H402" s="35">
        <v>92.8</v>
      </c>
      <c r="I402" s="34">
        <v>6492914</v>
      </c>
      <c r="J402" s="46">
        <f>500000</f>
        <v>500000</v>
      </c>
    </row>
    <row r="403" spans="1:10" s="58" customFormat="1" ht="15" x14ac:dyDescent="0.2">
      <c r="A403" s="16"/>
      <c r="B403" s="16"/>
      <c r="C403" s="16"/>
      <c r="D403" s="16"/>
      <c r="E403" s="17"/>
      <c r="F403" s="22" t="s">
        <v>518</v>
      </c>
      <c r="G403" s="34"/>
      <c r="H403" s="35"/>
      <c r="I403" s="34"/>
      <c r="J403" s="46"/>
    </row>
    <row r="404" spans="1:10" s="58" customFormat="1" ht="37.5" customHeight="1" x14ac:dyDescent="0.2">
      <c r="A404" s="16"/>
      <c r="B404" s="16"/>
      <c r="C404" s="16"/>
      <c r="D404" s="16"/>
      <c r="E404" s="17"/>
      <c r="F404" s="66" t="s">
        <v>519</v>
      </c>
      <c r="G404" s="34">
        <v>17143645</v>
      </c>
      <c r="H404" s="35">
        <v>5.8</v>
      </c>
      <c r="I404" s="34">
        <v>1000000</v>
      </c>
      <c r="J404" s="46">
        <f>8000000+6000000+3143645-1000000</f>
        <v>16143645</v>
      </c>
    </row>
    <row r="405" spans="1:10" s="58" customFormat="1" ht="39" customHeight="1" x14ac:dyDescent="0.2">
      <c r="A405" s="16"/>
      <c r="B405" s="16"/>
      <c r="C405" s="16"/>
      <c r="D405" s="16"/>
      <c r="E405" s="17"/>
      <c r="F405" s="18" t="s">
        <v>520</v>
      </c>
      <c r="G405" s="34">
        <v>30000000</v>
      </c>
      <c r="H405" s="35">
        <v>99.3</v>
      </c>
      <c r="I405" s="34">
        <v>29797736</v>
      </c>
      <c r="J405" s="46">
        <f>400000+100000-297736</f>
        <v>202264</v>
      </c>
    </row>
    <row r="406" spans="1:10" s="58" customFormat="1" ht="48.75" customHeight="1" x14ac:dyDescent="0.2">
      <c r="A406" s="16"/>
      <c r="B406" s="16"/>
      <c r="C406" s="16"/>
      <c r="D406" s="16"/>
      <c r="E406" s="17"/>
      <c r="F406" s="66" t="s">
        <v>521</v>
      </c>
      <c r="G406" s="34">
        <v>3463000</v>
      </c>
      <c r="H406" s="35"/>
      <c r="I406" s="34"/>
      <c r="J406" s="46">
        <f>300000+3163000</f>
        <v>3463000</v>
      </c>
    </row>
    <row r="407" spans="1:10" s="58" customFormat="1" ht="15" x14ac:dyDescent="0.2">
      <c r="A407" s="16"/>
      <c r="B407" s="16"/>
      <c r="C407" s="16"/>
      <c r="D407" s="16"/>
      <c r="E407" s="17"/>
      <c r="F407" s="22" t="s">
        <v>522</v>
      </c>
      <c r="G407" s="34"/>
      <c r="H407" s="35"/>
      <c r="I407" s="34"/>
      <c r="J407" s="46"/>
    </row>
    <row r="408" spans="1:10" s="58" customFormat="1" ht="56.25" customHeight="1" x14ac:dyDescent="0.2">
      <c r="A408" s="16"/>
      <c r="B408" s="16"/>
      <c r="C408" s="16"/>
      <c r="D408" s="16"/>
      <c r="E408" s="17"/>
      <c r="F408" s="66" t="s">
        <v>523</v>
      </c>
      <c r="G408" s="34">
        <v>44730379</v>
      </c>
      <c r="H408" s="35">
        <v>79</v>
      </c>
      <c r="I408" s="34">
        <v>35330379</v>
      </c>
      <c r="J408" s="46">
        <f>550000+7500000+10000000-9050000+400000</f>
        <v>9400000</v>
      </c>
    </row>
    <row r="409" spans="1:10" s="58" customFormat="1" ht="48" customHeight="1" x14ac:dyDescent="0.2">
      <c r="A409" s="16"/>
      <c r="B409" s="16"/>
      <c r="C409" s="16"/>
      <c r="D409" s="16"/>
      <c r="E409" s="17"/>
      <c r="F409" s="18" t="s">
        <v>524</v>
      </c>
      <c r="G409" s="34">
        <v>10310756</v>
      </c>
      <c r="H409" s="35">
        <v>4.5999999999999996</v>
      </c>
      <c r="I409" s="34">
        <v>470936</v>
      </c>
      <c r="J409" s="46">
        <v>645010</v>
      </c>
    </row>
    <row r="410" spans="1:10" s="58" customFormat="1" ht="15" customHeight="1" x14ac:dyDescent="0.2">
      <c r="A410" s="16"/>
      <c r="B410" s="16"/>
      <c r="C410" s="16"/>
      <c r="D410" s="16"/>
      <c r="E410" s="17"/>
      <c r="F410" s="18" t="s">
        <v>286</v>
      </c>
      <c r="G410" s="34"/>
      <c r="H410" s="35"/>
      <c r="I410" s="34"/>
      <c r="J410" s="46">
        <v>317350</v>
      </c>
    </row>
    <row r="411" spans="1:10" s="58" customFormat="1" ht="47.25" customHeight="1" x14ac:dyDescent="0.2">
      <c r="A411" s="16"/>
      <c r="B411" s="16"/>
      <c r="C411" s="16"/>
      <c r="D411" s="16"/>
      <c r="E411" s="17"/>
      <c r="F411" s="18" t="s">
        <v>525</v>
      </c>
      <c r="G411" s="34">
        <v>5428641</v>
      </c>
      <c r="H411" s="35">
        <v>2.9</v>
      </c>
      <c r="I411" s="34">
        <v>155348</v>
      </c>
      <c r="J411" s="46">
        <f>347391+500000+40000-35822</f>
        <v>851569</v>
      </c>
    </row>
    <row r="412" spans="1:10" s="58" customFormat="1" ht="21.75" customHeight="1" x14ac:dyDescent="0.2">
      <c r="A412" s="16"/>
      <c r="B412" s="16"/>
      <c r="C412" s="16"/>
      <c r="D412" s="16"/>
      <c r="E412" s="17"/>
      <c r="F412" s="18" t="s">
        <v>286</v>
      </c>
      <c r="G412" s="34"/>
      <c r="H412" s="35"/>
      <c r="I412" s="34"/>
      <c r="J412" s="46">
        <v>64731</v>
      </c>
    </row>
    <row r="413" spans="1:10" s="58" customFormat="1" ht="64.5" customHeight="1" x14ac:dyDescent="0.2">
      <c r="A413" s="16"/>
      <c r="B413" s="16"/>
      <c r="C413" s="16"/>
      <c r="D413" s="16"/>
      <c r="E413" s="17"/>
      <c r="F413" s="18" t="s">
        <v>526</v>
      </c>
      <c r="G413" s="34">
        <v>4549217</v>
      </c>
      <c r="H413" s="35">
        <v>20.6</v>
      </c>
      <c r="I413" s="34">
        <v>936591</v>
      </c>
      <c r="J413" s="46">
        <f>216840-3497-100000</f>
        <v>113343</v>
      </c>
    </row>
    <row r="414" spans="1:10" s="58" customFormat="1" ht="73.5" customHeight="1" x14ac:dyDescent="0.2">
      <c r="A414" s="16"/>
      <c r="B414" s="16"/>
      <c r="C414" s="16"/>
      <c r="D414" s="16"/>
      <c r="E414" s="17"/>
      <c r="F414" s="32" t="s">
        <v>527</v>
      </c>
      <c r="G414" s="34">
        <v>10513780</v>
      </c>
      <c r="H414" s="35">
        <v>0</v>
      </c>
      <c r="I414" s="34"/>
      <c r="J414" s="46">
        <f>1050000+2000</f>
        <v>1052000</v>
      </c>
    </row>
    <row r="415" spans="1:10" s="58" customFormat="1" ht="39" customHeight="1" x14ac:dyDescent="0.2">
      <c r="A415" s="16"/>
      <c r="B415" s="16"/>
      <c r="C415" s="16"/>
      <c r="D415" s="16"/>
      <c r="E415" s="17"/>
      <c r="F415" s="32" t="s">
        <v>528</v>
      </c>
      <c r="G415" s="34">
        <v>7230161</v>
      </c>
      <c r="H415" s="35">
        <v>80.599999999999994</v>
      </c>
      <c r="I415" s="34">
        <v>5830161</v>
      </c>
      <c r="J415" s="46">
        <f>1000000+3000000+3200000-5800000</f>
        <v>1400000</v>
      </c>
    </row>
    <row r="416" spans="1:10" s="58" customFormat="1" ht="39" customHeight="1" x14ac:dyDescent="0.2">
      <c r="A416" s="16"/>
      <c r="B416" s="16"/>
      <c r="C416" s="16"/>
      <c r="D416" s="16"/>
      <c r="E416" s="17"/>
      <c r="F416" s="68" t="s">
        <v>529</v>
      </c>
      <c r="G416" s="34">
        <v>30277409</v>
      </c>
      <c r="H416" s="35">
        <v>97.4</v>
      </c>
      <c r="I416" s="34">
        <v>29477409</v>
      </c>
      <c r="J416" s="46">
        <f>100000+500000-50000+250000</f>
        <v>800000</v>
      </c>
    </row>
    <row r="417" spans="1:10" s="58" customFormat="1" ht="63" customHeight="1" x14ac:dyDescent="0.2">
      <c r="A417" s="16"/>
      <c r="B417" s="16"/>
      <c r="C417" s="16"/>
      <c r="D417" s="16"/>
      <c r="E417" s="17"/>
      <c r="F417" s="18" t="s">
        <v>530</v>
      </c>
      <c r="G417" s="34">
        <v>5272338</v>
      </c>
      <c r="H417" s="35">
        <v>69.999988619849489</v>
      </c>
      <c r="I417" s="34">
        <v>3690636</v>
      </c>
      <c r="J417" s="46">
        <v>1581702</v>
      </c>
    </row>
    <row r="418" spans="1:10" s="58" customFormat="1" ht="25.5" customHeight="1" x14ac:dyDescent="0.2">
      <c r="A418" s="16"/>
      <c r="B418" s="16"/>
      <c r="C418" s="16"/>
      <c r="D418" s="16"/>
      <c r="E418" s="17"/>
      <c r="F418" s="22" t="s">
        <v>232</v>
      </c>
      <c r="G418" s="34"/>
      <c r="H418" s="35"/>
      <c r="I418" s="34"/>
      <c r="J418" s="47">
        <v>1318085</v>
      </c>
    </row>
    <row r="419" spans="1:10" s="58" customFormat="1" ht="71.25" customHeight="1" x14ac:dyDescent="0.2">
      <c r="A419" s="16"/>
      <c r="B419" s="16"/>
      <c r="C419" s="16"/>
      <c r="D419" s="16"/>
      <c r="E419" s="17"/>
      <c r="F419" s="18" t="s">
        <v>531</v>
      </c>
      <c r="G419" s="34">
        <v>17782536</v>
      </c>
      <c r="H419" s="35">
        <v>74.7</v>
      </c>
      <c r="I419" s="34">
        <v>13284223</v>
      </c>
      <c r="J419" s="46">
        <f>5334761-836448</f>
        <v>4498313</v>
      </c>
    </row>
    <row r="420" spans="1:10" s="58" customFormat="1" ht="24" customHeight="1" x14ac:dyDescent="0.2">
      <c r="A420" s="16"/>
      <c r="B420" s="16"/>
      <c r="C420" s="16"/>
      <c r="D420" s="16"/>
      <c r="E420" s="17"/>
      <c r="F420" s="22" t="s">
        <v>232</v>
      </c>
      <c r="G420" s="34"/>
      <c r="H420" s="35"/>
      <c r="I420" s="34"/>
      <c r="J420" s="47">
        <v>4445634</v>
      </c>
    </row>
    <row r="421" spans="1:10" s="58" customFormat="1" ht="42.75" customHeight="1" x14ac:dyDescent="0.2">
      <c r="A421" s="16"/>
      <c r="B421" s="16"/>
      <c r="C421" s="16"/>
      <c r="D421" s="16"/>
      <c r="E421" s="17"/>
      <c r="F421" s="18" t="s">
        <v>532</v>
      </c>
      <c r="G421" s="34">
        <v>25883844</v>
      </c>
      <c r="H421" s="35">
        <v>74.781079657256484</v>
      </c>
      <c r="I421" s="34">
        <v>19356218</v>
      </c>
      <c r="J421" s="46">
        <f>7765153-1237527</f>
        <v>6527626</v>
      </c>
    </row>
    <row r="422" spans="1:10" s="58" customFormat="1" ht="24" customHeight="1" x14ac:dyDescent="0.2">
      <c r="A422" s="16"/>
      <c r="B422" s="16"/>
      <c r="C422" s="16"/>
      <c r="D422" s="16"/>
      <c r="E422" s="17"/>
      <c r="F422" s="22" t="s">
        <v>232</v>
      </c>
      <c r="G422" s="34"/>
      <c r="H422" s="35"/>
      <c r="I422" s="34"/>
      <c r="J422" s="47">
        <v>6470961</v>
      </c>
    </row>
    <row r="423" spans="1:10" s="58" customFormat="1" ht="24" customHeight="1" x14ac:dyDescent="0.2">
      <c r="A423" s="16"/>
      <c r="B423" s="16"/>
      <c r="C423" s="16"/>
      <c r="D423" s="16"/>
      <c r="E423" s="17"/>
      <c r="F423" s="22" t="s">
        <v>301</v>
      </c>
      <c r="G423" s="34"/>
      <c r="H423" s="35"/>
      <c r="I423" s="34"/>
      <c r="J423" s="46"/>
    </row>
    <row r="424" spans="1:10" s="58" customFormat="1" ht="30" x14ac:dyDescent="0.2">
      <c r="A424" s="16"/>
      <c r="B424" s="16"/>
      <c r="C424" s="16"/>
      <c r="D424" s="16"/>
      <c r="E424" s="17"/>
      <c r="F424" s="18" t="s">
        <v>533</v>
      </c>
      <c r="G424" s="34">
        <v>38863367</v>
      </c>
      <c r="H424" s="35">
        <v>5.8</v>
      </c>
      <c r="I424" s="34">
        <v>2238134</v>
      </c>
      <c r="J424" s="46">
        <f>15673000+7000000+9400000-4050821-500000</f>
        <v>27522179</v>
      </c>
    </row>
    <row r="425" spans="1:10" s="58" customFormat="1" ht="45" x14ac:dyDescent="0.2">
      <c r="A425" s="16"/>
      <c r="B425" s="16"/>
      <c r="C425" s="16"/>
      <c r="D425" s="16"/>
      <c r="E425" s="17"/>
      <c r="F425" s="18" t="s">
        <v>534</v>
      </c>
      <c r="G425" s="34">
        <v>83456528</v>
      </c>
      <c r="H425" s="35">
        <v>99.1</v>
      </c>
      <c r="I425" s="34">
        <v>82706528</v>
      </c>
      <c r="J425" s="46">
        <f>57000000-27000000-15000000-14000000-250000</f>
        <v>750000</v>
      </c>
    </row>
    <row r="426" spans="1:10" s="58" customFormat="1" ht="30" x14ac:dyDescent="0.2">
      <c r="A426" s="16"/>
      <c r="B426" s="16"/>
      <c r="C426" s="16"/>
      <c r="D426" s="16"/>
      <c r="E426" s="17"/>
      <c r="F426" s="18" t="s">
        <v>535</v>
      </c>
      <c r="G426" s="34">
        <v>15998794</v>
      </c>
      <c r="H426" s="35">
        <v>6.5083343156990461</v>
      </c>
      <c r="I426" s="34">
        <v>1041255</v>
      </c>
      <c r="J426" s="46">
        <f>16000000-1042461</f>
        <v>14957539</v>
      </c>
    </row>
    <row r="427" spans="1:10" s="58" customFormat="1" ht="63" customHeight="1" x14ac:dyDescent="0.2">
      <c r="A427" s="16"/>
      <c r="B427" s="16"/>
      <c r="C427" s="16"/>
      <c r="D427" s="16"/>
      <c r="E427" s="17"/>
      <c r="F427" s="18" t="s">
        <v>536</v>
      </c>
      <c r="G427" s="34">
        <v>353209726</v>
      </c>
      <c r="H427" s="35">
        <v>84.9</v>
      </c>
      <c r="I427" s="34">
        <v>299912115</v>
      </c>
      <c r="J427" s="46">
        <f>6841411+43356200+3000000+100000</f>
        <v>53297611</v>
      </c>
    </row>
    <row r="428" spans="1:10" s="58" customFormat="1" ht="18.75" customHeight="1" x14ac:dyDescent="0.2">
      <c r="A428" s="16"/>
      <c r="B428" s="16"/>
      <c r="C428" s="16"/>
      <c r="D428" s="16"/>
      <c r="E428" s="17"/>
      <c r="F428" s="22" t="s">
        <v>232</v>
      </c>
      <c r="G428" s="34"/>
      <c r="H428" s="35"/>
      <c r="I428" s="34"/>
      <c r="J428" s="47">
        <f>6841411+43356200+3000000</f>
        <v>53197611</v>
      </c>
    </row>
    <row r="429" spans="1:10" s="58" customFormat="1" ht="53.25" customHeight="1" x14ac:dyDescent="0.2">
      <c r="A429" s="16"/>
      <c r="B429" s="16"/>
      <c r="C429" s="16"/>
      <c r="D429" s="16"/>
      <c r="E429" s="17"/>
      <c r="F429" s="18" t="s">
        <v>537</v>
      </c>
      <c r="G429" s="34">
        <v>10240596</v>
      </c>
      <c r="H429" s="35">
        <v>2</v>
      </c>
      <c r="I429" s="34">
        <v>202160</v>
      </c>
      <c r="J429" s="46">
        <f>2431526+200000+7406910</f>
        <v>10038436</v>
      </c>
    </row>
    <row r="430" spans="1:10" s="58" customFormat="1" ht="15" x14ac:dyDescent="0.2">
      <c r="A430" s="16"/>
      <c r="B430" s="16"/>
      <c r="C430" s="16"/>
      <c r="D430" s="16"/>
      <c r="E430" s="17"/>
      <c r="F430" s="22" t="s">
        <v>232</v>
      </c>
      <c r="G430" s="34"/>
      <c r="H430" s="35"/>
      <c r="I430" s="34"/>
      <c r="J430" s="47">
        <f>2431526+7406910</f>
        <v>9838436</v>
      </c>
    </row>
    <row r="431" spans="1:10" s="58" customFormat="1" ht="38.25" customHeight="1" x14ac:dyDescent="0.2">
      <c r="A431" s="16"/>
      <c r="B431" s="16"/>
      <c r="C431" s="16"/>
      <c r="D431" s="16"/>
      <c r="E431" s="17"/>
      <c r="F431" s="18" t="s">
        <v>538</v>
      </c>
      <c r="G431" s="34">
        <v>9081684</v>
      </c>
      <c r="H431" s="35">
        <v>0</v>
      </c>
      <c r="I431" s="34">
        <v>0</v>
      </c>
      <c r="J431" s="46">
        <f>1723924+140000+7117760+100000</f>
        <v>9081684</v>
      </c>
    </row>
    <row r="432" spans="1:10" s="58" customFormat="1" ht="15" x14ac:dyDescent="0.2">
      <c r="A432" s="16"/>
      <c r="B432" s="16"/>
      <c r="C432" s="16"/>
      <c r="D432" s="16"/>
      <c r="E432" s="17"/>
      <c r="F432" s="22" t="s">
        <v>232</v>
      </c>
      <c r="G432" s="34"/>
      <c r="H432" s="35"/>
      <c r="I432" s="34"/>
      <c r="J432" s="47">
        <f>1723924+7117760</f>
        <v>8841684</v>
      </c>
    </row>
    <row r="433" spans="1:10" s="58" customFormat="1" ht="45" x14ac:dyDescent="0.2">
      <c r="A433" s="16"/>
      <c r="B433" s="16"/>
      <c r="C433" s="16"/>
      <c r="D433" s="16"/>
      <c r="E433" s="17"/>
      <c r="F433" s="18" t="s">
        <v>539</v>
      </c>
      <c r="G433" s="34">
        <v>13793504</v>
      </c>
      <c r="H433" s="35">
        <v>15.5</v>
      </c>
      <c r="I433" s="34">
        <v>2135500</v>
      </c>
      <c r="J433" s="46">
        <f>1697804+150000+9740200+70000</f>
        <v>11658004</v>
      </c>
    </row>
    <row r="434" spans="1:10" s="58" customFormat="1" ht="15" x14ac:dyDescent="0.2">
      <c r="A434" s="16"/>
      <c r="B434" s="16"/>
      <c r="C434" s="16"/>
      <c r="D434" s="16"/>
      <c r="E434" s="17"/>
      <c r="F434" s="22" t="s">
        <v>232</v>
      </c>
      <c r="G434" s="34"/>
      <c r="H434" s="35"/>
      <c r="I434" s="34"/>
      <c r="J434" s="46">
        <f>1697804+9740200</f>
        <v>11438004</v>
      </c>
    </row>
    <row r="435" spans="1:10" s="58" customFormat="1" ht="45" x14ac:dyDescent="0.2">
      <c r="A435" s="16"/>
      <c r="B435" s="16"/>
      <c r="C435" s="16"/>
      <c r="D435" s="16"/>
      <c r="E435" s="17"/>
      <c r="F435" s="18" t="s">
        <v>540</v>
      </c>
      <c r="G435" s="34">
        <v>5012555</v>
      </c>
      <c r="H435" s="35">
        <v>19.600000000000001</v>
      </c>
      <c r="I435" s="34">
        <v>980048</v>
      </c>
      <c r="J435" s="46">
        <f>837777+70000+3094730+30000</f>
        <v>4032507</v>
      </c>
    </row>
    <row r="436" spans="1:10" s="58" customFormat="1" ht="15" x14ac:dyDescent="0.2">
      <c r="A436" s="16"/>
      <c r="B436" s="16"/>
      <c r="C436" s="16"/>
      <c r="D436" s="16"/>
      <c r="E436" s="17"/>
      <c r="F436" s="22" t="s">
        <v>232</v>
      </c>
      <c r="G436" s="34"/>
      <c r="H436" s="35"/>
      <c r="I436" s="34"/>
      <c r="J436" s="47">
        <f>837777+3094730</f>
        <v>3932507</v>
      </c>
    </row>
    <row r="437" spans="1:10" s="58" customFormat="1" ht="45" x14ac:dyDescent="0.2">
      <c r="A437" s="16"/>
      <c r="B437" s="16"/>
      <c r="C437" s="16"/>
      <c r="D437" s="16"/>
      <c r="E437" s="17"/>
      <c r="F437" s="18" t="s">
        <v>541</v>
      </c>
      <c r="G437" s="34">
        <v>7656138</v>
      </c>
      <c r="H437" s="35">
        <v>22.8</v>
      </c>
      <c r="I437" s="34">
        <v>1748047</v>
      </c>
      <c r="J437" s="46">
        <f>1385331+110000+4372760+40000</f>
        <v>5908091</v>
      </c>
    </row>
    <row r="438" spans="1:10" s="58" customFormat="1" ht="15" x14ac:dyDescent="0.2">
      <c r="A438" s="16"/>
      <c r="B438" s="16"/>
      <c r="C438" s="16"/>
      <c r="D438" s="16"/>
      <c r="E438" s="17"/>
      <c r="F438" s="22" t="s">
        <v>232</v>
      </c>
      <c r="G438" s="34"/>
      <c r="H438" s="35"/>
      <c r="I438" s="34"/>
      <c r="J438" s="47">
        <f>1385331+4372760</f>
        <v>5758091</v>
      </c>
    </row>
    <row r="439" spans="1:10" s="58" customFormat="1" ht="49.5" customHeight="1" x14ac:dyDescent="0.2">
      <c r="A439" s="16"/>
      <c r="B439" s="16"/>
      <c r="C439" s="16"/>
      <c r="D439" s="16"/>
      <c r="E439" s="17"/>
      <c r="F439" s="18" t="s">
        <v>542</v>
      </c>
      <c r="G439" s="34">
        <v>4078095</v>
      </c>
      <c r="H439" s="35">
        <v>26.4</v>
      </c>
      <c r="I439" s="34">
        <v>1078153</v>
      </c>
      <c r="J439" s="46">
        <f>569482+2330460+100000</f>
        <v>2999942</v>
      </c>
    </row>
    <row r="440" spans="1:10" s="58" customFormat="1" ht="15" x14ac:dyDescent="0.2">
      <c r="A440" s="16"/>
      <c r="B440" s="16"/>
      <c r="C440" s="16"/>
      <c r="D440" s="16"/>
      <c r="E440" s="17"/>
      <c r="F440" s="22" t="s">
        <v>232</v>
      </c>
      <c r="G440" s="34"/>
      <c r="H440" s="35"/>
      <c r="I440" s="34"/>
      <c r="J440" s="47">
        <f>569482+2330460</f>
        <v>2899942</v>
      </c>
    </row>
    <row r="441" spans="1:10" s="58" customFormat="1" ht="45" x14ac:dyDescent="0.2">
      <c r="A441" s="16"/>
      <c r="B441" s="16"/>
      <c r="C441" s="16"/>
      <c r="D441" s="16"/>
      <c r="E441" s="17"/>
      <c r="F441" s="18" t="s">
        <v>543</v>
      </c>
      <c r="G441" s="34">
        <v>47244107</v>
      </c>
      <c r="H441" s="35">
        <v>12.8</v>
      </c>
      <c r="I441" s="34">
        <v>6039004</v>
      </c>
      <c r="J441" s="46">
        <f>2800413+250000+35386990+2517700+250000</f>
        <v>41205103</v>
      </c>
    </row>
    <row r="442" spans="1:10" s="58" customFormat="1" ht="15" x14ac:dyDescent="0.2">
      <c r="A442" s="16"/>
      <c r="B442" s="16"/>
      <c r="C442" s="16"/>
      <c r="D442" s="16"/>
      <c r="E442" s="17"/>
      <c r="F442" s="22" t="s">
        <v>232</v>
      </c>
      <c r="G442" s="34"/>
      <c r="H442" s="35"/>
      <c r="I442" s="34"/>
      <c r="J442" s="47">
        <f>2800413+35386990+2517700</f>
        <v>40705103</v>
      </c>
    </row>
    <row r="443" spans="1:10" s="58" customFormat="1" ht="60" x14ac:dyDescent="0.2">
      <c r="A443" s="16"/>
      <c r="B443" s="16"/>
      <c r="C443" s="16"/>
      <c r="D443" s="16"/>
      <c r="E443" s="17"/>
      <c r="F443" s="18" t="s">
        <v>544</v>
      </c>
      <c r="G443" s="34">
        <v>11994215</v>
      </c>
      <c r="H443" s="35">
        <v>16.899999999999999</v>
      </c>
      <c r="I443" s="34">
        <v>2023410</v>
      </c>
      <c r="J443" s="46">
        <f>1748185+140000+8052620+30000</f>
        <v>9970805</v>
      </c>
    </row>
    <row r="444" spans="1:10" s="58" customFormat="1" ht="15" x14ac:dyDescent="0.2">
      <c r="A444" s="16"/>
      <c r="B444" s="16"/>
      <c r="C444" s="16"/>
      <c r="D444" s="16"/>
      <c r="E444" s="17"/>
      <c r="F444" s="22" t="s">
        <v>232</v>
      </c>
      <c r="G444" s="34"/>
      <c r="H444" s="35"/>
      <c r="I444" s="34"/>
      <c r="J444" s="47">
        <f>1748185+8052620</f>
        <v>9800805</v>
      </c>
    </row>
    <row r="445" spans="1:10" s="58" customFormat="1" ht="84" customHeight="1" x14ac:dyDescent="0.2">
      <c r="A445" s="16"/>
      <c r="B445" s="16"/>
      <c r="C445" s="16"/>
      <c r="D445" s="16"/>
      <c r="E445" s="17"/>
      <c r="F445" s="32" t="s">
        <v>545</v>
      </c>
      <c r="G445" s="34">
        <v>919334</v>
      </c>
      <c r="H445" s="35">
        <v>15.2</v>
      </c>
      <c r="I445" s="34">
        <v>139323</v>
      </c>
      <c r="J445" s="46">
        <f>18244+23502-2410</f>
        <v>39336</v>
      </c>
    </row>
    <row r="446" spans="1:10" s="58" customFormat="1" ht="18.75" customHeight="1" x14ac:dyDescent="0.2">
      <c r="A446" s="16"/>
      <c r="B446" s="16"/>
      <c r="C446" s="16"/>
      <c r="D446" s="16"/>
      <c r="E446" s="17"/>
      <c r="F446" s="18" t="s">
        <v>286</v>
      </c>
      <c r="G446" s="34"/>
      <c r="H446" s="35"/>
      <c r="I446" s="34"/>
      <c r="J446" s="46">
        <v>18244</v>
      </c>
    </row>
    <row r="447" spans="1:10" s="58" customFormat="1" ht="42" customHeight="1" x14ac:dyDescent="0.2">
      <c r="A447" s="16"/>
      <c r="B447" s="16"/>
      <c r="C447" s="16"/>
      <c r="D447" s="16"/>
      <c r="E447" s="17"/>
      <c r="F447" s="18" t="s">
        <v>546</v>
      </c>
      <c r="G447" s="34">
        <v>2159516</v>
      </c>
      <c r="H447" s="35">
        <v>10.8</v>
      </c>
      <c r="I447" s="34">
        <v>233592</v>
      </c>
      <c r="J447" s="46">
        <f>372833-6775-223736-3081</f>
        <v>139241</v>
      </c>
    </row>
    <row r="448" spans="1:10" s="58" customFormat="1" ht="45" x14ac:dyDescent="0.2">
      <c r="A448" s="16"/>
      <c r="B448" s="16"/>
      <c r="C448" s="16"/>
      <c r="D448" s="16"/>
      <c r="E448" s="17"/>
      <c r="F448" s="17" t="s">
        <v>547</v>
      </c>
      <c r="G448" s="34">
        <v>1280775</v>
      </c>
      <c r="H448" s="35">
        <v>0</v>
      </c>
      <c r="I448" s="34">
        <v>0</v>
      </c>
      <c r="J448" s="46">
        <f>500000+319948+207052+153775+100000</f>
        <v>1280775</v>
      </c>
    </row>
    <row r="449" spans="1:10" s="58" customFormat="1" ht="45" x14ac:dyDescent="0.2">
      <c r="A449" s="16"/>
      <c r="B449" s="16"/>
      <c r="C449" s="16"/>
      <c r="D449" s="16"/>
      <c r="E449" s="17"/>
      <c r="F449" s="17" t="s">
        <v>548</v>
      </c>
      <c r="G449" s="34">
        <v>30000000</v>
      </c>
      <c r="H449" s="35">
        <v>98.4</v>
      </c>
      <c r="I449" s="34">
        <v>29518000</v>
      </c>
      <c r="J449" s="46">
        <f>500000+757847+17954+60000-853801</f>
        <v>482000</v>
      </c>
    </row>
    <row r="450" spans="1:10" s="58" customFormat="1" ht="50.25" customHeight="1" x14ac:dyDescent="0.2">
      <c r="A450" s="16"/>
      <c r="B450" s="16"/>
      <c r="C450" s="16"/>
      <c r="D450" s="16"/>
      <c r="E450" s="17"/>
      <c r="F450" s="17" t="s">
        <v>549</v>
      </c>
      <c r="G450" s="34">
        <v>32728233</v>
      </c>
      <c r="H450" s="35">
        <v>73.900000000000006</v>
      </c>
      <c r="I450" s="34">
        <v>24190233</v>
      </c>
      <c r="J450" s="103">
        <f>550000+3000+800+10000000-7000000</f>
        <v>3553800</v>
      </c>
    </row>
    <row r="451" spans="1:10" s="58" customFormat="1" ht="15" x14ac:dyDescent="0.2">
      <c r="A451" s="16"/>
      <c r="B451" s="16"/>
      <c r="C451" s="16"/>
      <c r="D451" s="16"/>
      <c r="E451" s="17"/>
      <c r="F451" s="22" t="s">
        <v>303</v>
      </c>
      <c r="G451" s="34"/>
      <c r="H451" s="35"/>
      <c r="I451" s="34"/>
      <c r="J451" s="46"/>
    </row>
    <row r="452" spans="1:10" s="58" customFormat="1" ht="42" customHeight="1" x14ac:dyDescent="0.2">
      <c r="A452" s="16"/>
      <c r="B452" s="16"/>
      <c r="C452" s="16"/>
      <c r="D452" s="16"/>
      <c r="E452" s="17"/>
      <c r="F452" s="18" t="s">
        <v>550</v>
      </c>
      <c r="G452" s="34">
        <v>30543650</v>
      </c>
      <c r="H452" s="35">
        <v>98.6</v>
      </c>
      <c r="I452" s="34">
        <v>30129347</v>
      </c>
      <c r="J452" s="46">
        <f>100000+858</f>
        <v>100858</v>
      </c>
    </row>
    <row r="453" spans="1:10" s="58" customFormat="1" ht="42" customHeight="1" x14ac:dyDescent="0.2">
      <c r="A453" s="16"/>
      <c r="B453" s="16"/>
      <c r="C453" s="16"/>
      <c r="D453" s="16"/>
      <c r="E453" s="17"/>
      <c r="F453" s="17" t="s">
        <v>551</v>
      </c>
      <c r="G453" s="34">
        <v>18317580</v>
      </c>
      <c r="H453" s="35">
        <v>93.6</v>
      </c>
      <c r="I453" s="34">
        <v>17147986</v>
      </c>
      <c r="J453" s="46">
        <f>200000+376329+500000+93265</f>
        <v>1169594</v>
      </c>
    </row>
    <row r="454" spans="1:10" s="58" customFormat="1" ht="24.75" customHeight="1" x14ac:dyDescent="0.2">
      <c r="A454" s="16"/>
      <c r="B454" s="16"/>
      <c r="C454" s="16"/>
      <c r="D454" s="16"/>
      <c r="E454" s="17"/>
      <c r="F454" s="17" t="s">
        <v>552</v>
      </c>
      <c r="G454" s="34">
        <v>14142732</v>
      </c>
      <c r="H454" s="35">
        <v>95.5</v>
      </c>
      <c r="I454" s="34">
        <v>13503166</v>
      </c>
      <c r="J454" s="46">
        <f>200000+196680+242886</f>
        <v>639566</v>
      </c>
    </row>
    <row r="455" spans="1:10" s="58" customFormat="1" ht="53.25" customHeight="1" x14ac:dyDescent="0.2">
      <c r="A455" s="16"/>
      <c r="B455" s="16"/>
      <c r="C455" s="16"/>
      <c r="D455" s="16"/>
      <c r="E455" s="17"/>
      <c r="F455" s="17" t="s">
        <v>553</v>
      </c>
      <c r="G455" s="34">
        <v>1188000</v>
      </c>
      <c r="H455" s="35"/>
      <c r="I455" s="34"/>
      <c r="J455" s="46">
        <f>200000+688000+500000-200000</f>
        <v>1188000</v>
      </c>
    </row>
    <row r="456" spans="1:10" s="58" customFormat="1" ht="51.75" customHeight="1" x14ac:dyDescent="0.2">
      <c r="A456" s="16"/>
      <c r="B456" s="16"/>
      <c r="C456" s="16"/>
      <c r="D456" s="16"/>
      <c r="E456" s="17"/>
      <c r="F456" s="17" t="s">
        <v>554</v>
      </c>
      <c r="G456" s="34">
        <v>57418812</v>
      </c>
      <c r="H456" s="35">
        <v>99.2</v>
      </c>
      <c r="I456" s="34">
        <v>56932366</v>
      </c>
      <c r="J456" s="46">
        <f>200000+766715-300000-120000-60269</f>
        <v>486446</v>
      </c>
    </row>
    <row r="457" spans="1:10" s="58" customFormat="1" ht="15" x14ac:dyDescent="0.2">
      <c r="A457" s="16"/>
      <c r="B457" s="16"/>
      <c r="C457" s="16"/>
      <c r="D457" s="16"/>
      <c r="E457" s="17"/>
      <c r="F457" s="22" t="s">
        <v>306</v>
      </c>
      <c r="G457" s="34"/>
      <c r="H457" s="35"/>
      <c r="I457" s="34"/>
      <c r="J457" s="46"/>
    </row>
    <row r="458" spans="1:10" s="58" customFormat="1" ht="45" x14ac:dyDescent="0.2">
      <c r="A458" s="16"/>
      <c r="B458" s="16"/>
      <c r="C458" s="16"/>
      <c r="D458" s="16"/>
      <c r="E458" s="17"/>
      <c r="F458" s="66" t="s">
        <v>555</v>
      </c>
      <c r="G458" s="34">
        <v>10312312</v>
      </c>
      <c r="H458" s="35">
        <v>72.8</v>
      </c>
      <c r="I458" s="34">
        <v>7512312</v>
      </c>
      <c r="J458" s="46">
        <f>3000000+1000000-1200000</f>
        <v>2800000</v>
      </c>
    </row>
    <row r="459" spans="1:10" s="58" customFormat="1" ht="45" x14ac:dyDescent="0.2">
      <c r="A459" s="16"/>
      <c r="B459" s="16"/>
      <c r="C459" s="16"/>
      <c r="D459" s="16"/>
      <c r="E459" s="17"/>
      <c r="F459" s="18" t="s">
        <v>556</v>
      </c>
      <c r="G459" s="34">
        <v>60000000</v>
      </c>
      <c r="H459" s="35">
        <v>99.9</v>
      </c>
      <c r="I459" s="34">
        <v>59913307</v>
      </c>
      <c r="J459" s="46">
        <f>500000+4600000+5000000-4116339-4756227-550000-590741</f>
        <v>86693</v>
      </c>
    </row>
    <row r="460" spans="1:10" s="58" customFormat="1" ht="75" x14ac:dyDescent="0.2">
      <c r="A460" s="16"/>
      <c r="B460" s="16"/>
      <c r="C460" s="16"/>
      <c r="D460" s="16"/>
      <c r="E460" s="17"/>
      <c r="F460" s="18" t="s">
        <v>557</v>
      </c>
      <c r="G460" s="34">
        <v>13182401</v>
      </c>
      <c r="H460" s="35">
        <v>33.4</v>
      </c>
      <c r="I460" s="34">
        <v>4400401</v>
      </c>
      <c r="J460" s="46">
        <f>6000000+3000000+5000000-818000-800000-3600000</f>
        <v>8782000</v>
      </c>
    </row>
    <row r="461" spans="1:10" s="58" customFormat="1" ht="15" x14ac:dyDescent="0.2">
      <c r="A461" s="16"/>
      <c r="B461" s="16"/>
      <c r="C461" s="16"/>
      <c r="D461" s="16"/>
      <c r="E461" s="17"/>
      <c r="F461" s="22" t="s">
        <v>232</v>
      </c>
      <c r="G461" s="34"/>
      <c r="H461" s="35"/>
      <c r="I461" s="34"/>
      <c r="J461" s="47">
        <v>5000000</v>
      </c>
    </row>
    <row r="462" spans="1:10" s="58" customFormat="1" ht="45" x14ac:dyDescent="0.2">
      <c r="A462" s="16"/>
      <c r="B462" s="16"/>
      <c r="C462" s="16"/>
      <c r="D462" s="16"/>
      <c r="E462" s="17"/>
      <c r="F462" s="17" t="s">
        <v>558</v>
      </c>
      <c r="G462" s="34">
        <v>59989218</v>
      </c>
      <c r="H462" s="35">
        <v>98.3</v>
      </c>
      <c r="I462" s="34">
        <v>58979584</v>
      </c>
      <c r="J462" s="46">
        <f>200000+272766+174025+1219067-500000-350000-6224</f>
        <v>1009634</v>
      </c>
    </row>
    <row r="463" spans="1:10" s="58" customFormat="1" ht="45" x14ac:dyDescent="0.2">
      <c r="A463" s="16"/>
      <c r="B463" s="16"/>
      <c r="C463" s="16"/>
      <c r="D463" s="16"/>
      <c r="E463" s="17"/>
      <c r="F463" s="17" t="s">
        <v>559</v>
      </c>
      <c r="G463" s="34">
        <v>60195918</v>
      </c>
      <c r="H463" s="35">
        <v>99</v>
      </c>
      <c r="I463" s="34">
        <v>59569650</v>
      </c>
      <c r="J463" s="46">
        <f>200000+204243+129367+142658-50000</f>
        <v>626268</v>
      </c>
    </row>
    <row r="464" spans="1:10" s="58" customFormat="1" ht="45" x14ac:dyDescent="0.2">
      <c r="A464" s="16"/>
      <c r="B464" s="16"/>
      <c r="C464" s="16"/>
      <c r="D464" s="16"/>
      <c r="E464" s="17"/>
      <c r="F464" s="17" t="s">
        <v>560</v>
      </c>
      <c r="G464" s="34">
        <v>56402571</v>
      </c>
      <c r="H464" s="35">
        <v>97.7</v>
      </c>
      <c r="I464" s="34">
        <v>55099246</v>
      </c>
      <c r="J464" s="46">
        <f>200000+741660+227879+113786+20000</f>
        <v>1303325</v>
      </c>
    </row>
    <row r="465" spans="1:10" s="58" customFormat="1" ht="45" x14ac:dyDescent="0.2">
      <c r="A465" s="16"/>
      <c r="B465" s="16"/>
      <c r="C465" s="16"/>
      <c r="D465" s="16"/>
      <c r="E465" s="17"/>
      <c r="F465" s="17" t="s">
        <v>561</v>
      </c>
      <c r="G465" s="34">
        <v>57711676</v>
      </c>
      <c r="H465" s="35">
        <v>98.7</v>
      </c>
      <c r="I465" s="34">
        <v>56970016</v>
      </c>
      <c r="J465" s="46">
        <f>200000+741660-150000-50000</f>
        <v>741660</v>
      </c>
    </row>
    <row r="466" spans="1:10" s="58" customFormat="1" ht="45" x14ac:dyDescent="0.2">
      <c r="A466" s="16"/>
      <c r="B466" s="16"/>
      <c r="C466" s="16"/>
      <c r="D466" s="16"/>
      <c r="E466" s="17"/>
      <c r="F466" s="68" t="s">
        <v>562</v>
      </c>
      <c r="G466" s="34">
        <v>18000000</v>
      </c>
      <c r="H466" s="35">
        <v>95.2</v>
      </c>
      <c r="I466" s="34">
        <v>17130000</v>
      </c>
      <c r="J466" s="46">
        <f>100000+400000-50000+420000</f>
        <v>870000</v>
      </c>
    </row>
    <row r="467" spans="1:10" s="58" customFormat="1" ht="66" customHeight="1" x14ac:dyDescent="0.2">
      <c r="A467" s="16"/>
      <c r="B467" s="16"/>
      <c r="C467" s="16"/>
      <c r="D467" s="16"/>
      <c r="E467" s="17"/>
      <c r="F467" s="137" t="s">
        <v>563</v>
      </c>
      <c r="G467" s="34">
        <v>28000000</v>
      </c>
      <c r="H467" s="35">
        <v>97</v>
      </c>
      <c r="I467" s="34">
        <v>27150000</v>
      </c>
      <c r="J467" s="46">
        <f>100000+400000+350000</f>
        <v>850000</v>
      </c>
    </row>
    <row r="468" spans="1:10" s="58" customFormat="1" ht="60" x14ac:dyDescent="0.2">
      <c r="A468" s="16"/>
      <c r="B468" s="16"/>
      <c r="C468" s="16"/>
      <c r="D468" s="16"/>
      <c r="E468" s="17"/>
      <c r="F468" s="136" t="s">
        <v>564</v>
      </c>
      <c r="G468" s="34">
        <v>20000000</v>
      </c>
      <c r="H468" s="35">
        <v>99</v>
      </c>
      <c r="I468" s="34">
        <v>19800000</v>
      </c>
      <c r="J468" s="46">
        <f>300196-100196</f>
        <v>200000</v>
      </c>
    </row>
    <row r="469" spans="1:10" s="58" customFormat="1" ht="15" x14ac:dyDescent="0.2">
      <c r="A469" s="16"/>
      <c r="B469" s="16"/>
      <c r="C469" s="16"/>
      <c r="D469" s="16"/>
      <c r="E469" s="17"/>
      <c r="F469" s="22" t="s">
        <v>309</v>
      </c>
      <c r="G469" s="34"/>
      <c r="H469" s="35"/>
      <c r="I469" s="34"/>
      <c r="J469" s="46"/>
    </row>
    <row r="470" spans="1:10" s="58" customFormat="1" ht="60.75" customHeight="1" x14ac:dyDescent="0.2">
      <c r="A470" s="16"/>
      <c r="B470" s="16"/>
      <c r="C470" s="16"/>
      <c r="D470" s="16"/>
      <c r="E470" s="17"/>
      <c r="F470" s="18" t="s">
        <v>565</v>
      </c>
      <c r="G470" s="34">
        <v>25889130</v>
      </c>
      <c r="H470" s="35">
        <v>17.8</v>
      </c>
      <c r="I470" s="34">
        <v>4605384</v>
      </c>
      <c r="J470" s="46">
        <f>3000000+2998000+5434893-1049595-1000000-1000000</f>
        <v>8383298</v>
      </c>
    </row>
    <row r="471" spans="1:10" s="58" customFormat="1" ht="30" x14ac:dyDescent="0.2">
      <c r="A471" s="16"/>
      <c r="B471" s="16"/>
      <c r="C471" s="16"/>
      <c r="D471" s="16"/>
      <c r="E471" s="17"/>
      <c r="F471" s="66" t="s">
        <v>566</v>
      </c>
      <c r="G471" s="34">
        <v>48345440</v>
      </c>
      <c r="H471" s="35">
        <v>24.5</v>
      </c>
      <c r="I471" s="34">
        <v>11849795</v>
      </c>
      <c r="J471" s="46">
        <f>3000000+5000000+100000</f>
        <v>8100000</v>
      </c>
    </row>
    <row r="472" spans="1:10" s="58" customFormat="1" ht="50.25" customHeight="1" x14ac:dyDescent="0.2">
      <c r="A472" s="16"/>
      <c r="B472" s="16"/>
      <c r="C472" s="16"/>
      <c r="D472" s="16"/>
      <c r="E472" s="17"/>
      <c r="F472" s="18" t="s">
        <v>567</v>
      </c>
      <c r="G472" s="34">
        <v>5595279</v>
      </c>
      <c r="H472" s="35">
        <v>4.9000000000000004</v>
      </c>
      <c r="I472" s="34">
        <v>272984</v>
      </c>
      <c r="J472" s="46">
        <f>1000000+240000-10523</f>
        <v>1229477</v>
      </c>
    </row>
    <row r="473" spans="1:10" s="58" customFormat="1" ht="15" x14ac:dyDescent="0.2">
      <c r="A473" s="16"/>
      <c r="B473" s="16"/>
      <c r="C473" s="16"/>
      <c r="D473" s="16"/>
      <c r="E473" s="17"/>
      <c r="F473" s="22" t="s">
        <v>340</v>
      </c>
      <c r="G473" s="34"/>
      <c r="H473" s="35"/>
      <c r="I473" s="34"/>
      <c r="J473" s="46"/>
    </row>
    <row r="474" spans="1:10" s="58" customFormat="1" ht="60" x14ac:dyDescent="0.2">
      <c r="A474" s="16"/>
      <c r="B474" s="16"/>
      <c r="C474" s="16"/>
      <c r="D474" s="16"/>
      <c r="E474" s="17"/>
      <c r="F474" s="18" t="s">
        <v>568</v>
      </c>
      <c r="G474" s="34">
        <v>160309352</v>
      </c>
      <c r="H474" s="35">
        <v>79.900000000000006</v>
      </c>
      <c r="I474" s="34">
        <v>128012826</v>
      </c>
      <c r="J474" s="46">
        <f>3415926+25780600+3000000+100000</f>
        <v>32296526</v>
      </c>
    </row>
    <row r="475" spans="1:10" s="58" customFormat="1" ht="15" x14ac:dyDescent="0.2">
      <c r="A475" s="16"/>
      <c r="B475" s="16"/>
      <c r="C475" s="16"/>
      <c r="D475" s="16"/>
      <c r="E475" s="17"/>
      <c r="F475" s="22" t="s">
        <v>232</v>
      </c>
      <c r="G475" s="34"/>
      <c r="H475" s="35"/>
      <c r="I475" s="34"/>
      <c r="J475" s="47">
        <f>3415926+25780600+3000000</f>
        <v>32196526</v>
      </c>
    </row>
    <row r="476" spans="1:10" s="58" customFormat="1" ht="55.5" customHeight="1" x14ac:dyDescent="0.2">
      <c r="A476" s="16"/>
      <c r="B476" s="16"/>
      <c r="C476" s="16"/>
      <c r="D476" s="16"/>
      <c r="E476" s="17"/>
      <c r="F476" s="18" t="s">
        <v>569</v>
      </c>
      <c r="G476" s="34">
        <v>15918464</v>
      </c>
      <c r="H476" s="35">
        <v>14.7</v>
      </c>
      <c r="I476" s="34">
        <v>2346994</v>
      </c>
      <c r="J476" s="46">
        <f>3132444+1967560+2271768-500000-1000000</f>
        <v>5871772</v>
      </c>
    </row>
    <row r="477" spans="1:10" s="58" customFormat="1" ht="55.5" customHeight="1" x14ac:dyDescent="0.2">
      <c r="A477" s="16"/>
      <c r="B477" s="16"/>
      <c r="C477" s="16"/>
      <c r="D477" s="16"/>
      <c r="E477" s="17"/>
      <c r="F477" s="18" t="s">
        <v>570</v>
      </c>
      <c r="G477" s="34">
        <v>32452238</v>
      </c>
      <c r="H477" s="35">
        <v>73.599999999999994</v>
      </c>
      <c r="I477" s="34">
        <v>23899536</v>
      </c>
      <c r="J477" s="46">
        <f>350000+375087-100000+6224580-950180</f>
        <v>5899487</v>
      </c>
    </row>
    <row r="478" spans="1:10" s="58" customFormat="1" ht="24.75" customHeight="1" x14ac:dyDescent="0.2">
      <c r="A478" s="16"/>
      <c r="B478" s="16"/>
      <c r="C478" s="16"/>
      <c r="D478" s="16"/>
      <c r="E478" s="17"/>
      <c r="F478" s="22" t="s">
        <v>232</v>
      </c>
      <c r="G478" s="34"/>
      <c r="H478" s="35"/>
      <c r="I478" s="34"/>
      <c r="J478" s="47">
        <v>5187150</v>
      </c>
    </row>
    <row r="479" spans="1:10" s="58" customFormat="1" ht="101.25" customHeight="1" x14ac:dyDescent="0.2">
      <c r="A479" s="16"/>
      <c r="B479" s="16"/>
      <c r="C479" s="16"/>
      <c r="D479" s="16"/>
      <c r="E479" s="17"/>
      <c r="F479" s="32" t="s">
        <v>571</v>
      </c>
      <c r="G479" s="34">
        <v>70000</v>
      </c>
      <c r="H479" s="35">
        <v>0</v>
      </c>
      <c r="I479" s="34">
        <v>0</v>
      </c>
      <c r="J479" s="46">
        <v>70000</v>
      </c>
    </row>
    <row r="480" spans="1:10" s="58" customFormat="1" ht="30" x14ac:dyDescent="0.2">
      <c r="A480" s="16"/>
      <c r="B480" s="16"/>
      <c r="C480" s="16"/>
      <c r="D480" s="16"/>
      <c r="E480" s="17"/>
      <c r="F480" s="32" t="s">
        <v>572</v>
      </c>
      <c r="G480" s="34">
        <v>29000000</v>
      </c>
      <c r="H480" s="35">
        <v>97.7</v>
      </c>
      <c r="I480" s="34">
        <v>28344000</v>
      </c>
      <c r="J480" s="46">
        <f>100000+400000+256000-100000</f>
        <v>656000</v>
      </c>
    </row>
    <row r="481" spans="1:10" s="58" customFormat="1" ht="18.75" customHeight="1" x14ac:dyDescent="0.2">
      <c r="A481" s="16"/>
      <c r="B481" s="16"/>
      <c r="C481" s="16"/>
      <c r="D481" s="16"/>
      <c r="E481" s="17"/>
      <c r="F481" s="22" t="s">
        <v>311</v>
      </c>
      <c r="G481" s="34"/>
      <c r="H481" s="35"/>
      <c r="I481" s="34"/>
      <c r="J481" s="46"/>
    </row>
    <row r="482" spans="1:10" s="58" customFormat="1" ht="26.25" customHeight="1" x14ac:dyDescent="0.2">
      <c r="A482" s="16"/>
      <c r="B482" s="16"/>
      <c r="C482" s="16"/>
      <c r="D482" s="16"/>
      <c r="E482" s="17"/>
      <c r="F482" s="18" t="s">
        <v>573</v>
      </c>
      <c r="G482" s="34">
        <v>33192805</v>
      </c>
      <c r="H482" s="35">
        <v>97.9</v>
      </c>
      <c r="I482" s="34">
        <v>32482606</v>
      </c>
      <c r="J482" s="46">
        <f>200000+400000+105385+238000+500000-700000-33186</f>
        <v>710199</v>
      </c>
    </row>
    <row r="483" spans="1:10" s="58" customFormat="1" ht="23.25" customHeight="1" x14ac:dyDescent="0.2">
      <c r="A483" s="16"/>
      <c r="B483" s="16"/>
      <c r="C483" s="16"/>
      <c r="D483" s="16"/>
      <c r="E483" s="17"/>
      <c r="F483" s="18" t="s">
        <v>574</v>
      </c>
      <c r="G483" s="34">
        <v>30000000</v>
      </c>
      <c r="H483" s="35">
        <v>95.9</v>
      </c>
      <c r="I483" s="34">
        <v>28755640</v>
      </c>
      <c r="J483" s="46">
        <f>100000+400000+680099+64261</f>
        <v>1244360</v>
      </c>
    </row>
    <row r="484" spans="1:10" s="58" customFormat="1" ht="33.75" customHeight="1" x14ac:dyDescent="0.2">
      <c r="A484" s="16"/>
      <c r="B484" s="16"/>
      <c r="C484" s="16"/>
      <c r="D484" s="16"/>
      <c r="E484" s="17"/>
      <c r="F484" s="18" t="s">
        <v>575</v>
      </c>
      <c r="G484" s="34">
        <v>20000000</v>
      </c>
      <c r="H484" s="35">
        <v>99.2</v>
      </c>
      <c r="I484" s="34">
        <v>19840767</v>
      </c>
      <c r="J484" s="46">
        <f>300000-100000-40767</f>
        <v>159233</v>
      </c>
    </row>
    <row r="485" spans="1:10" s="58" customFormat="1" ht="61.5" customHeight="1" x14ac:dyDescent="0.2">
      <c r="A485" s="16"/>
      <c r="B485" s="16"/>
      <c r="C485" s="16"/>
      <c r="D485" s="16"/>
      <c r="E485" s="17"/>
      <c r="F485" s="18" t="s">
        <v>576</v>
      </c>
      <c r="G485" s="34">
        <v>30000000</v>
      </c>
      <c r="H485" s="35">
        <v>99.4</v>
      </c>
      <c r="I485" s="34">
        <v>29815000</v>
      </c>
      <c r="J485" s="46">
        <f>300000-100000-15000</f>
        <v>185000</v>
      </c>
    </row>
    <row r="486" spans="1:10" s="58" customFormat="1" ht="50.25" customHeight="1" x14ac:dyDescent="0.2">
      <c r="A486" s="16"/>
      <c r="B486" s="16"/>
      <c r="C486" s="16"/>
      <c r="D486" s="16"/>
      <c r="E486" s="17"/>
      <c r="F486" s="18" t="s">
        <v>577</v>
      </c>
      <c r="G486" s="34">
        <v>30000000</v>
      </c>
      <c r="H486" s="35">
        <v>95.5</v>
      </c>
      <c r="I486" s="34">
        <v>28660459</v>
      </c>
      <c r="J486" s="46">
        <f>100000+400000+839541</f>
        <v>1339541</v>
      </c>
    </row>
    <row r="487" spans="1:10" s="58" customFormat="1" ht="33.75" customHeight="1" x14ac:dyDescent="0.2">
      <c r="A487" s="16"/>
      <c r="B487" s="16"/>
      <c r="C487" s="16"/>
      <c r="D487" s="16"/>
      <c r="E487" s="17"/>
      <c r="F487" s="32" t="s">
        <v>578</v>
      </c>
      <c r="G487" s="34">
        <v>25000000</v>
      </c>
      <c r="H487" s="35">
        <v>96.3</v>
      </c>
      <c r="I487" s="34">
        <v>24085322</v>
      </c>
      <c r="J487" s="46">
        <f>100000+400000+301742+42006+70930</f>
        <v>914678</v>
      </c>
    </row>
    <row r="488" spans="1:10" s="58" customFormat="1" ht="25.5" customHeight="1" x14ac:dyDescent="0.2">
      <c r="A488" s="16"/>
      <c r="B488" s="16"/>
      <c r="C488" s="16"/>
      <c r="D488" s="16"/>
      <c r="E488" s="17"/>
      <c r="F488" s="18" t="s">
        <v>579</v>
      </c>
      <c r="G488" s="34">
        <v>50000000</v>
      </c>
      <c r="H488" s="35">
        <v>98.8</v>
      </c>
      <c r="I488" s="34">
        <v>49420000</v>
      </c>
      <c r="J488" s="46">
        <f>100000+400000+130000-50000</f>
        <v>580000</v>
      </c>
    </row>
    <row r="489" spans="1:10" s="58" customFormat="1" ht="48" customHeight="1" x14ac:dyDescent="0.2">
      <c r="A489" s="16"/>
      <c r="B489" s="16"/>
      <c r="C489" s="16"/>
      <c r="D489" s="16"/>
      <c r="E489" s="17"/>
      <c r="F489" s="17" t="s">
        <v>580</v>
      </c>
      <c r="G489" s="34">
        <v>25000000</v>
      </c>
      <c r="H489" s="35">
        <v>96.4</v>
      </c>
      <c r="I489" s="34">
        <v>24100000</v>
      </c>
      <c r="J489" s="46">
        <f>100000+400000+400000</f>
        <v>900000</v>
      </c>
    </row>
    <row r="490" spans="1:10" s="58" customFormat="1" ht="66.75" customHeight="1" x14ac:dyDescent="0.2">
      <c r="A490" s="16"/>
      <c r="B490" s="16"/>
      <c r="C490" s="16"/>
      <c r="D490" s="16"/>
      <c r="E490" s="17"/>
      <c r="F490" s="66" t="s">
        <v>581</v>
      </c>
      <c r="G490" s="34">
        <v>18000000</v>
      </c>
      <c r="H490" s="35">
        <v>95.6</v>
      </c>
      <c r="I490" s="34">
        <v>17213117</v>
      </c>
      <c r="J490" s="46">
        <f>100000+400000+386883-100000</f>
        <v>786883</v>
      </c>
    </row>
    <row r="491" spans="1:10" s="58" customFormat="1" ht="20.25" customHeight="1" x14ac:dyDescent="0.2">
      <c r="A491" s="16"/>
      <c r="B491" s="16"/>
      <c r="C491" s="16"/>
      <c r="D491" s="16"/>
      <c r="E491" s="17"/>
      <c r="F491" s="21" t="s">
        <v>344</v>
      </c>
      <c r="G491" s="34"/>
      <c r="H491" s="35"/>
      <c r="I491" s="34"/>
      <c r="J491" s="46"/>
    </row>
    <row r="492" spans="1:10" s="58" customFormat="1" ht="20.25" customHeight="1" x14ac:dyDescent="0.2">
      <c r="A492" s="16"/>
      <c r="B492" s="16"/>
      <c r="C492" s="16"/>
      <c r="D492" s="16"/>
      <c r="E492" s="17"/>
      <c r="F492" s="18" t="s">
        <v>582</v>
      </c>
      <c r="G492" s="34">
        <v>27007627</v>
      </c>
      <c r="H492" s="35">
        <v>98.8</v>
      </c>
      <c r="I492" s="34">
        <v>26675145</v>
      </c>
      <c r="J492" s="46">
        <f>200000+109104+485070+1100000-50000-1300000-120000-91692</f>
        <v>332482</v>
      </c>
    </row>
    <row r="493" spans="1:10" s="58" customFormat="1" ht="45" x14ac:dyDescent="0.2">
      <c r="A493" s="16"/>
      <c r="B493" s="16"/>
      <c r="C493" s="16"/>
      <c r="D493" s="16"/>
      <c r="E493" s="17"/>
      <c r="F493" s="18" t="s">
        <v>583</v>
      </c>
      <c r="G493" s="34">
        <v>10000000</v>
      </c>
      <c r="H493" s="35">
        <v>98.3</v>
      </c>
      <c r="I493" s="34">
        <v>9826405</v>
      </c>
      <c r="J493" s="46">
        <f>50000+173595-50000</f>
        <v>173595</v>
      </c>
    </row>
    <row r="494" spans="1:10" s="58" customFormat="1" ht="20.25" customHeight="1" x14ac:dyDescent="0.2">
      <c r="A494" s="16"/>
      <c r="B494" s="16"/>
      <c r="C494" s="16"/>
      <c r="D494" s="16"/>
      <c r="E494" s="17"/>
      <c r="F494" s="21" t="s">
        <v>346</v>
      </c>
      <c r="G494" s="34"/>
      <c r="H494" s="35"/>
      <c r="I494" s="34"/>
      <c r="J494" s="46"/>
    </row>
    <row r="495" spans="1:10" s="58" customFormat="1" ht="33.75" customHeight="1" x14ac:dyDescent="0.2">
      <c r="A495" s="16"/>
      <c r="B495" s="16"/>
      <c r="C495" s="16"/>
      <c r="D495" s="16"/>
      <c r="E495" s="17"/>
      <c r="F495" s="17" t="s">
        <v>584</v>
      </c>
      <c r="G495" s="34">
        <v>652490</v>
      </c>
      <c r="H495" s="35">
        <v>84.9</v>
      </c>
      <c r="I495" s="34">
        <v>554219</v>
      </c>
      <c r="J495" s="46">
        <v>98271</v>
      </c>
    </row>
    <row r="496" spans="1:10" s="58" customFormat="1" ht="33.75" customHeight="1" x14ac:dyDescent="0.2">
      <c r="A496" s="16"/>
      <c r="B496" s="16"/>
      <c r="C496" s="16"/>
      <c r="D496" s="16"/>
      <c r="E496" s="17"/>
      <c r="F496" s="17" t="s">
        <v>585</v>
      </c>
      <c r="G496" s="34">
        <v>15000000</v>
      </c>
      <c r="H496" s="35">
        <v>95.1</v>
      </c>
      <c r="I496" s="34">
        <v>14268065</v>
      </c>
      <c r="J496" s="46">
        <f>100000+400000+511000-279065</f>
        <v>731935</v>
      </c>
    </row>
    <row r="497" spans="1:10" s="58" customFormat="1" ht="20.25" customHeight="1" x14ac:dyDescent="0.2">
      <c r="A497" s="16"/>
      <c r="B497" s="16"/>
      <c r="C497" s="16"/>
      <c r="D497" s="16"/>
      <c r="E497" s="17"/>
      <c r="F497" s="22" t="s">
        <v>348</v>
      </c>
      <c r="G497" s="34"/>
      <c r="H497" s="35"/>
      <c r="I497" s="34"/>
      <c r="J497" s="46"/>
    </row>
    <row r="498" spans="1:10" s="58" customFormat="1" ht="51" customHeight="1" x14ac:dyDescent="0.2">
      <c r="A498" s="16"/>
      <c r="B498" s="16"/>
      <c r="C498" s="16"/>
      <c r="D498" s="16"/>
      <c r="E498" s="17"/>
      <c r="F498" s="17" t="s">
        <v>586</v>
      </c>
      <c r="G498" s="34">
        <v>1116542</v>
      </c>
      <c r="H498" s="35">
        <v>17.399999999999999</v>
      </c>
      <c r="I498" s="34">
        <v>194219</v>
      </c>
      <c r="J498" s="46">
        <f>153905-1278+40000</f>
        <v>192627</v>
      </c>
    </row>
    <row r="499" spans="1:10" s="58" customFormat="1" ht="21.75" customHeight="1" x14ac:dyDescent="0.2">
      <c r="A499" s="16"/>
      <c r="B499" s="16"/>
      <c r="C499" s="16"/>
      <c r="D499" s="16"/>
      <c r="E499" s="17"/>
      <c r="F499" s="18" t="s">
        <v>286</v>
      </c>
      <c r="G499" s="34"/>
      <c r="H499" s="35"/>
      <c r="I499" s="34"/>
      <c r="J499" s="46">
        <v>31208</v>
      </c>
    </row>
    <row r="500" spans="1:10" s="58" customFormat="1" ht="44.25" customHeight="1" x14ac:dyDescent="0.2">
      <c r="A500" s="16"/>
      <c r="B500" s="16"/>
      <c r="C500" s="16"/>
      <c r="D500" s="16"/>
      <c r="E500" s="17"/>
      <c r="F500" s="18" t="s">
        <v>587</v>
      </c>
      <c r="G500" s="34">
        <v>30000000</v>
      </c>
      <c r="H500" s="35">
        <v>98.3</v>
      </c>
      <c r="I500" s="34">
        <v>29495649</v>
      </c>
      <c r="J500" s="46">
        <f>200000+504351+1000000-1100000-100000</f>
        <v>504351</v>
      </c>
    </row>
    <row r="501" spans="1:10" s="58" customFormat="1" ht="15" x14ac:dyDescent="0.2">
      <c r="A501" s="16"/>
      <c r="B501" s="16"/>
      <c r="C501" s="16"/>
      <c r="D501" s="16"/>
      <c r="E501" s="17"/>
      <c r="F501" s="22" t="s">
        <v>588</v>
      </c>
      <c r="G501" s="34"/>
      <c r="H501" s="35"/>
      <c r="I501" s="34"/>
      <c r="J501" s="46"/>
    </row>
    <row r="502" spans="1:10" s="58" customFormat="1" ht="60" x14ac:dyDescent="0.2">
      <c r="A502" s="16"/>
      <c r="B502" s="16"/>
      <c r="C502" s="16"/>
      <c r="D502" s="16"/>
      <c r="E502" s="17"/>
      <c r="F502" s="18" t="s">
        <v>589</v>
      </c>
      <c r="G502" s="34">
        <v>4863979</v>
      </c>
      <c r="H502" s="35">
        <v>2.1</v>
      </c>
      <c r="I502" s="34">
        <v>100555</v>
      </c>
      <c r="J502" s="46">
        <f>600000+937091+54348+971000-36955</f>
        <v>2525484</v>
      </c>
    </row>
    <row r="503" spans="1:10" s="58" customFormat="1" ht="44.25" customHeight="1" x14ac:dyDescent="0.2">
      <c r="A503" s="16"/>
      <c r="B503" s="16"/>
      <c r="C503" s="16"/>
      <c r="D503" s="16"/>
      <c r="E503" s="17"/>
      <c r="F503" s="68" t="s">
        <v>590</v>
      </c>
      <c r="G503" s="34">
        <v>30000000</v>
      </c>
      <c r="H503" s="35">
        <v>99</v>
      </c>
      <c r="I503" s="34">
        <v>29690000</v>
      </c>
      <c r="J503" s="46">
        <f>100000+400000-150000-40000</f>
        <v>310000</v>
      </c>
    </row>
    <row r="504" spans="1:10" s="58" customFormat="1" ht="45" customHeight="1" x14ac:dyDescent="0.2">
      <c r="A504" s="16"/>
      <c r="B504" s="16"/>
      <c r="C504" s="16"/>
      <c r="D504" s="16"/>
      <c r="E504" s="17"/>
      <c r="F504" s="68" t="s">
        <v>591</v>
      </c>
      <c r="G504" s="34">
        <v>15000000</v>
      </c>
      <c r="H504" s="35">
        <v>98.7</v>
      </c>
      <c r="I504" s="34">
        <v>14800000</v>
      </c>
      <c r="J504" s="46">
        <f>300000-100000</f>
        <v>200000</v>
      </c>
    </row>
    <row r="505" spans="1:10" s="58" customFormat="1" ht="51.75" customHeight="1" x14ac:dyDescent="0.2">
      <c r="A505" s="16"/>
      <c r="B505" s="16"/>
      <c r="C505" s="16"/>
      <c r="D505" s="16"/>
      <c r="E505" s="17"/>
      <c r="F505" s="68" t="s">
        <v>592</v>
      </c>
      <c r="G505" s="34">
        <v>12169516</v>
      </c>
      <c r="H505" s="35">
        <v>73.8</v>
      </c>
      <c r="I505" s="34">
        <v>8979906</v>
      </c>
      <c r="J505" s="46">
        <f>3589610-400000</f>
        <v>3189610</v>
      </c>
    </row>
    <row r="506" spans="1:10" s="58" customFormat="1" ht="23.25" customHeight="1" x14ac:dyDescent="0.2">
      <c r="A506" s="16"/>
      <c r="B506" s="16"/>
      <c r="C506" s="16"/>
      <c r="D506" s="16"/>
      <c r="E506" s="17"/>
      <c r="F506" s="22" t="s">
        <v>232</v>
      </c>
      <c r="G506" s="34"/>
      <c r="H506" s="35"/>
      <c r="I506" s="34"/>
      <c r="J506" s="47">
        <v>2991342</v>
      </c>
    </row>
    <row r="507" spans="1:10" s="58" customFormat="1" ht="18.75" customHeight="1" x14ac:dyDescent="0.2">
      <c r="A507" s="16"/>
      <c r="B507" s="16"/>
      <c r="C507" s="16"/>
      <c r="D507" s="16"/>
      <c r="E507" s="17"/>
      <c r="F507" s="22" t="s">
        <v>352</v>
      </c>
      <c r="G507" s="34"/>
      <c r="H507" s="35"/>
      <c r="I507" s="34"/>
      <c r="J507" s="46"/>
    </row>
    <row r="508" spans="1:10" s="58" customFormat="1" ht="56.25" customHeight="1" x14ac:dyDescent="0.2">
      <c r="A508" s="16"/>
      <c r="B508" s="16"/>
      <c r="C508" s="16"/>
      <c r="D508" s="16"/>
      <c r="E508" s="17"/>
      <c r="F508" s="18" t="s">
        <v>593</v>
      </c>
      <c r="G508" s="34">
        <v>57026854</v>
      </c>
      <c r="H508" s="35">
        <v>66.7</v>
      </c>
      <c r="I508" s="34">
        <v>38054716</v>
      </c>
      <c r="J508" s="46">
        <f>8000000+4325000+4354920-1500000+3700000</f>
        <v>18879920</v>
      </c>
    </row>
    <row r="509" spans="1:10" s="58" customFormat="1" ht="56.25" customHeight="1" x14ac:dyDescent="0.2">
      <c r="A509" s="16"/>
      <c r="B509" s="16"/>
      <c r="C509" s="16"/>
      <c r="D509" s="16"/>
      <c r="E509" s="17"/>
      <c r="F509" s="18" t="s">
        <v>594</v>
      </c>
      <c r="G509" s="34">
        <v>30000000</v>
      </c>
      <c r="H509" s="35">
        <v>99.6</v>
      </c>
      <c r="I509" s="34">
        <v>29884032</v>
      </c>
      <c r="J509" s="46">
        <f>300000-100000-84032</f>
        <v>115968</v>
      </c>
    </row>
    <row r="510" spans="1:10" s="58" customFormat="1" ht="56.25" customHeight="1" x14ac:dyDescent="0.2">
      <c r="A510" s="16"/>
      <c r="B510" s="16"/>
      <c r="C510" s="16"/>
      <c r="D510" s="16"/>
      <c r="E510" s="17"/>
      <c r="F510" s="18" t="s">
        <v>595</v>
      </c>
      <c r="G510" s="34">
        <v>1056888</v>
      </c>
      <c r="H510" s="35">
        <v>71.68053757824859</v>
      </c>
      <c r="I510" s="34">
        <v>757583</v>
      </c>
      <c r="J510" s="46">
        <v>299305</v>
      </c>
    </row>
    <row r="511" spans="1:10" s="58" customFormat="1" ht="19.5" customHeight="1" x14ac:dyDescent="0.2">
      <c r="A511" s="16"/>
      <c r="B511" s="16"/>
      <c r="C511" s="16"/>
      <c r="D511" s="16"/>
      <c r="E511" s="17"/>
      <c r="F511" s="22" t="s">
        <v>232</v>
      </c>
      <c r="G511" s="34"/>
      <c r="H511" s="35"/>
      <c r="I511" s="34"/>
      <c r="J511" s="47">
        <v>249421</v>
      </c>
    </row>
    <row r="512" spans="1:10" s="58" customFormat="1" ht="45" x14ac:dyDescent="0.2">
      <c r="A512" s="16"/>
      <c r="B512" s="16"/>
      <c r="C512" s="16"/>
      <c r="D512" s="16"/>
      <c r="E512" s="17"/>
      <c r="F512" s="18" t="s">
        <v>596</v>
      </c>
      <c r="G512" s="34">
        <v>7816000</v>
      </c>
      <c r="H512" s="35">
        <v>0</v>
      </c>
      <c r="I512" s="34">
        <v>0</v>
      </c>
      <c r="J512" s="46">
        <f>3000000+2416000+2400000</f>
        <v>7816000</v>
      </c>
    </row>
    <row r="513" spans="1:10" s="58" customFormat="1" ht="52.5" customHeight="1" x14ac:dyDescent="0.2">
      <c r="A513" s="16"/>
      <c r="B513" s="16"/>
      <c r="C513" s="16"/>
      <c r="D513" s="16"/>
      <c r="E513" s="17"/>
      <c r="F513" s="18" t="s">
        <v>597</v>
      </c>
      <c r="G513" s="34">
        <v>5810559</v>
      </c>
      <c r="H513" s="35">
        <v>4.5999999999999996</v>
      </c>
      <c r="I513" s="34">
        <v>266389</v>
      </c>
      <c r="J513" s="46">
        <f>5700000-351858+196028</f>
        <v>5544170</v>
      </c>
    </row>
    <row r="514" spans="1:10" s="58" customFormat="1" ht="48" customHeight="1" x14ac:dyDescent="0.2">
      <c r="A514" s="16"/>
      <c r="B514" s="16"/>
      <c r="C514" s="16"/>
      <c r="D514" s="16"/>
      <c r="E514" s="17"/>
      <c r="F514" s="18" t="s">
        <v>598</v>
      </c>
      <c r="G514" s="34">
        <v>760000</v>
      </c>
      <c r="H514" s="35">
        <v>0</v>
      </c>
      <c r="I514" s="34">
        <v>0</v>
      </c>
      <c r="J514" s="46">
        <f>700000+60000</f>
        <v>760000</v>
      </c>
    </row>
    <row r="515" spans="1:10" s="58" customFormat="1" ht="49.5" customHeight="1" x14ac:dyDescent="0.2">
      <c r="A515" s="16"/>
      <c r="B515" s="16"/>
      <c r="C515" s="16"/>
      <c r="D515" s="16"/>
      <c r="E515" s="17"/>
      <c r="F515" s="18" t="s">
        <v>599</v>
      </c>
      <c r="G515" s="34">
        <v>4602380</v>
      </c>
      <c r="H515" s="35">
        <v>52.3</v>
      </c>
      <c r="I515" s="34">
        <v>2407390</v>
      </c>
      <c r="J515" s="46">
        <f>100000+500000+3594990-2000000</f>
        <v>2194990</v>
      </c>
    </row>
    <row r="516" spans="1:10" s="58" customFormat="1" ht="36" customHeight="1" x14ac:dyDescent="0.2">
      <c r="A516" s="16"/>
      <c r="B516" s="16"/>
      <c r="C516" s="16"/>
      <c r="D516" s="16"/>
      <c r="E516" s="17"/>
      <c r="F516" s="69" t="s">
        <v>600</v>
      </c>
      <c r="G516" s="34">
        <v>35000000</v>
      </c>
      <c r="H516" s="35">
        <v>97.4</v>
      </c>
      <c r="I516" s="34">
        <v>34092617</v>
      </c>
      <c r="J516" s="46">
        <f>100000+400000+497383-111215+21215</f>
        <v>907383</v>
      </c>
    </row>
    <row r="517" spans="1:10" s="58" customFormat="1" ht="33.75" customHeight="1" x14ac:dyDescent="0.2">
      <c r="A517" s="16"/>
      <c r="B517" s="16"/>
      <c r="C517" s="16"/>
      <c r="D517" s="16"/>
      <c r="E517" s="17"/>
      <c r="F517" s="69" t="s">
        <v>601</v>
      </c>
      <c r="G517" s="34">
        <v>20000000</v>
      </c>
      <c r="H517" s="35">
        <v>99.1</v>
      </c>
      <c r="I517" s="34">
        <v>19820000</v>
      </c>
      <c r="J517" s="46">
        <f>300000-100000-20000</f>
        <v>180000</v>
      </c>
    </row>
    <row r="518" spans="1:10" s="58" customFormat="1" ht="45" customHeight="1" x14ac:dyDescent="0.2">
      <c r="A518" s="16"/>
      <c r="B518" s="16"/>
      <c r="C518" s="16"/>
      <c r="D518" s="16"/>
      <c r="E518" s="17"/>
      <c r="F518" s="69" t="s">
        <v>602</v>
      </c>
      <c r="G518" s="34">
        <v>1220000</v>
      </c>
      <c r="H518" s="35"/>
      <c r="I518" s="34"/>
      <c r="J518" s="46">
        <f>100000+400000+720000</f>
        <v>1220000</v>
      </c>
    </row>
    <row r="519" spans="1:10" s="58" customFormat="1" ht="36" customHeight="1" x14ac:dyDescent="0.2">
      <c r="A519" s="16"/>
      <c r="B519" s="16"/>
      <c r="C519" s="16"/>
      <c r="D519" s="16"/>
      <c r="E519" s="17"/>
      <c r="F519" s="69" t="s">
        <v>603</v>
      </c>
      <c r="G519" s="34">
        <v>30000000</v>
      </c>
      <c r="H519" s="35">
        <v>98.1</v>
      </c>
      <c r="I519" s="34">
        <v>29430000</v>
      </c>
      <c r="J519" s="46">
        <f>100000+400000+120000-50000</f>
        <v>570000</v>
      </c>
    </row>
    <row r="520" spans="1:10" s="58" customFormat="1" ht="23.25" customHeight="1" x14ac:dyDescent="0.2">
      <c r="A520" s="16"/>
      <c r="B520" s="16"/>
      <c r="C520" s="16"/>
      <c r="D520" s="16"/>
      <c r="E520" s="17"/>
      <c r="F520" s="22" t="s">
        <v>354</v>
      </c>
      <c r="G520" s="34"/>
      <c r="H520" s="35"/>
      <c r="I520" s="34"/>
      <c r="J520" s="46"/>
    </row>
    <row r="521" spans="1:10" s="58" customFormat="1" ht="30" x14ac:dyDescent="0.2">
      <c r="A521" s="16"/>
      <c r="B521" s="16"/>
      <c r="C521" s="16"/>
      <c r="D521" s="16"/>
      <c r="E521" s="17"/>
      <c r="F521" s="18" t="s">
        <v>604</v>
      </c>
      <c r="G521" s="34">
        <v>60000000</v>
      </c>
      <c r="H521" s="35">
        <v>13.1</v>
      </c>
      <c r="I521" s="34">
        <v>7871899</v>
      </c>
      <c r="J521" s="46">
        <f>2852000+1000000+12620619+10000000+2000000+15000000+10000000-3000000</f>
        <v>50472619</v>
      </c>
    </row>
    <row r="522" spans="1:10" s="58" customFormat="1" ht="45" x14ac:dyDescent="0.2">
      <c r="A522" s="16"/>
      <c r="B522" s="16"/>
      <c r="C522" s="16"/>
      <c r="D522" s="16"/>
      <c r="E522" s="17"/>
      <c r="F522" s="18" t="s">
        <v>605</v>
      </c>
      <c r="G522" s="34">
        <v>51026698</v>
      </c>
      <c r="H522" s="35">
        <v>96.08</v>
      </c>
      <c r="I522" s="34">
        <v>49026698</v>
      </c>
      <c r="J522" s="46">
        <v>2000000</v>
      </c>
    </row>
    <row r="523" spans="1:10" s="58" customFormat="1" ht="45" x14ac:dyDescent="0.2">
      <c r="A523" s="16"/>
      <c r="B523" s="16"/>
      <c r="C523" s="16"/>
      <c r="D523" s="16"/>
      <c r="E523" s="17"/>
      <c r="F523" s="17" t="s">
        <v>606</v>
      </c>
      <c r="G523" s="34">
        <v>21279550</v>
      </c>
      <c r="H523" s="35">
        <v>70.900000000000006</v>
      </c>
      <c r="I523" s="34">
        <v>15079550</v>
      </c>
      <c r="J523" s="46">
        <f>5000000+1000000+4000000-3800000</f>
        <v>6200000</v>
      </c>
    </row>
    <row r="524" spans="1:10" s="58" customFormat="1" ht="30" x14ac:dyDescent="0.2">
      <c r="A524" s="16"/>
      <c r="B524" s="16"/>
      <c r="C524" s="16"/>
      <c r="D524" s="16"/>
      <c r="E524" s="17"/>
      <c r="F524" s="66" t="s">
        <v>607</v>
      </c>
      <c r="G524" s="34">
        <v>30679540</v>
      </c>
      <c r="H524" s="35">
        <v>53.6</v>
      </c>
      <c r="I524" s="34">
        <v>16456005</v>
      </c>
      <c r="J524" s="46">
        <f>10000000+4000000-4000000+3247400+976135</f>
        <v>14223535</v>
      </c>
    </row>
    <row r="525" spans="1:10" s="58" customFormat="1" ht="52.5" customHeight="1" x14ac:dyDescent="0.2">
      <c r="A525" s="16"/>
      <c r="B525" s="16"/>
      <c r="C525" s="16"/>
      <c r="D525" s="16"/>
      <c r="E525" s="17"/>
      <c r="F525" s="18" t="s">
        <v>608</v>
      </c>
      <c r="G525" s="34">
        <v>6767486</v>
      </c>
      <c r="H525" s="35">
        <v>45.5</v>
      </c>
      <c r="I525" s="34">
        <v>3079374</v>
      </c>
      <c r="J525" s="46">
        <f>5500000-455623+1723109-579374-2500000</f>
        <v>3688112</v>
      </c>
    </row>
    <row r="526" spans="1:10" s="58" customFormat="1" ht="60" customHeight="1" x14ac:dyDescent="0.2">
      <c r="A526" s="16"/>
      <c r="B526" s="16"/>
      <c r="C526" s="16"/>
      <c r="D526" s="16"/>
      <c r="E526" s="17"/>
      <c r="F526" s="137" t="s">
        <v>609</v>
      </c>
      <c r="G526" s="34">
        <v>50773538</v>
      </c>
      <c r="H526" s="35">
        <v>61.2</v>
      </c>
      <c r="I526" s="34">
        <v>31073538</v>
      </c>
      <c r="J526" s="46">
        <f>15000000+6000000+4000000-10000000+2500000+2200000</f>
        <v>19700000</v>
      </c>
    </row>
    <row r="527" spans="1:10" s="58" customFormat="1" ht="65.25" customHeight="1" x14ac:dyDescent="0.2">
      <c r="A527" s="16"/>
      <c r="B527" s="16"/>
      <c r="C527" s="16"/>
      <c r="D527" s="16"/>
      <c r="E527" s="17"/>
      <c r="F527" s="89" t="s">
        <v>610</v>
      </c>
      <c r="G527" s="34">
        <v>44450234</v>
      </c>
      <c r="H527" s="35">
        <v>59.7</v>
      </c>
      <c r="I527" s="34">
        <v>26550234</v>
      </c>
      <c r="J527" s="46">
        <f>15000000+1000000+7419000-10000000-1419000+5000000+900000</f>
        <v>17900000</v>
      </c>
    </row>
    <row r="528" spans="1:10" s="58" customFormat="1" ht="40.5" customHeight="1" x14ac:dyDescent="0.2">
      <c r="A528" s="16"/>
      <c r="B528" s="16"/>
      <c r="C528" s="16"/>
      <c r="D528" s="16"/>
      <c r="E528" s="17"/>
      <c r="F528" s="18" t="s">
        <v>611</v>
      </c>
      <c r="G528" s="34">
        <v>132896200</v>
      </c>
      <c r="H528" s="35">
        <v>42.6</v>
      </c>
      <c r="I528" s="34">
        <v>56605257</v>
      </c>
      <c r="J528" s="46">
        <f>41241961-13344323+10000000+10000000-2500000+10000000+20862689</f>
        <v>76260327</v>
      </c>
    </row>
    <row r="529" spans="1:11" s="58" customFormat="1" ht="40.5" customHeight="1" x14ac:dyDescent="0.2">
      <c r="A529" s="16"/>
      <c r="B529" s="16"/>
      <c r="C529" s="16"/>
      <c r="D529" s="16"/>
      <c r="E529" s="17"/>
      <c r="F529" s="17" t="s">
        <v>612</v>
      </c>
      <c r="G529" s="34">
        <v>6729731</v>
      </c>
      <c r="H529" s="35">
        <v>99.3</v>
      </c>
      <c r="I529" s="34">
        <v>6679731</v>
      </c>
      <c r="J529" s="46">
        <f>200000+200000-350000</f>
        <v>50000</v>
      </c>
    </row>
    <row r="530" spans="1:11" s="58" customFormat="1" ht="40.5" customHeight="1" x14ac:dyDescent="0.2">
      <c r="A530" s="16"/>
      <c r="B530" s="16"/>
      <c r="C530" s="16"/>
      <c r="D530" s="16"/>
      <c r="E530" s="17"/>
      <c r="F530" s="17" t="s">
        <v>613</v>
      </c>
      <c r="G530" s="34">
        <v>32045099</v>
      </c>
      <c r="H530" s="35">
        <v>99.4</v>
      </c>
      <c r="I530" s="34">
        <v>31845099</v>
      </c>
      <c r="J530" s="46">
        <f>200000+400000-250000-150000</f>
        <v>200000</v>
      </c>
    </row>
    <row r="531" spans="1:11" s="58" customFormat="1" ht="43.5" customHeight="1" x14ac:dyDescent="0.2">
      <c r="A531" s="16"/>
      <c r="B531" s="16"/>
      <c r="C531" s="16"/>
      <c r="D531" s="16"/>
      <c r="E531" s="17"/>
      <c r="F531" s="17" t="s">
        <v>614</v>
      </c>
      <c r="G531" s="34">
        <v>17959580</v>
      </c>
      <c r="H531" s="35">
        <v>99.6</v>
      </c>
      <c r="I531" s="34">
        <v>17894640</v>
      </c>
      <c r="J531" s="46">
        <f>200000+200000-335060</f>
        <v>64940</v>
      </c>
    </row>
    <row r="532" spans="1:11" s="58" customFormat="1" ht="43.5" customHeight="1" x14ac:dyDescent="0.2">
      <c r="A532" s="16"/>
      <c r="B532" s="16"/>
      <c r="C532" s="16"/>
      <c r="D532" s="16"/>
      <c r="E532" s="17"/>
      <c r="F532" s="17" t="s">
        <v>615</v>
      </c>
      <c r="G532" s="34">
        <v>66723074</v>
      </c>
      <c r="H532" s="35">
        <v>4.9718707504393462</v>
      </c>
      <c r="I532" s="34">
        <v>3317385</v>
      </c>
      <c r="J532" s="46">
        <f>313000+20763</f>
        <v>333763</v>
      </c>
    </row>
    <row r="533" spans="1:11" s="58" customFormat="1" ht="30" x14ac:dyDescent="0.2">
      <c r="A533" s="16"/>
      <c r="B533" s="16"/>
      <c r="C533" s="16"/>
      <c r="D533" s="16"/>
      <c r="E533" s="17"/>
      <c r="F533" s="17" t="s">
        <v>616</v>
      </c>
      <c r="G533" s="34">
        <v>620000</v>
      </c>
      <c r="H533" s="35"/>
      <c r="I533" s="34"/>
      <c r="J533" s="46">
        <f>100000+400000+120000</f>
        <v>620000</v>
      </c>
    </row>
    <row r="534" spans="1:11" s="58" customFormat="1" ht="30" x14ac:dyDescent="0.2">
      <c r="A534" s="16"/>
      <c r="B534" s="16"/>
      <c r="C534" s="16"/>
      <c r="D534" s="16"/>
      <c r="E534" s="17"/>
      <c r="F534" s="69" t="s">
        <v>617</v>
      </c>
      <c r="G534" s="34">
        <v>50000000</v>
      </c>
      <c r="H534" s="35">
        <v>97.8</v>
      </c>
      <c r="I534" s="34">
        <v>48902582</v>
      </c>
      <c r="J534" s="46">
        <f>100000+400000+597418</f>
        <v>1097418</v>
      </c>
    </row>
    <row r="535" spans="1:11" s="58" customFormat="1" ht="39" customHeight="1" x14ac:dyDescent="0.2">
      <c r="A535" s="16"/>
      <c r="B535" s="16"/>
      <c r="C535" s="16"/>
      <c r="D535" s="16"/>
      <c r="E535" s="17"/>
      <c r="F535" s="69" t="s">
        <v>618</v>
      </c>
      <c r="G535" s="34">
        <v>50000000</v>
      </c>
      <c r="H535" s="35">
        <v>98.7</v>
      </c>
      <c r="I535" s="34">
        <v>49350000</v>
      </c>
      <c r="J535" s="46">
        <f>100000+400000+150000</f>
        <v>650000</v>
      </c>
    </row>
    <row r="536" spans="1:11" s="58" customFormat="1" ht="39" customHeight="1" x14ac:dyDescent="0.2">
      <c r="A536" s="16"/>
      <c r="B536" s="16"/>
      <c r="C536" s="16"/>
      <c r="D536" s="16"/>
      <c r="E536" s="17"/>
      <c r="F536" s="17" t="s">
        <v>619</v>
      </c>
      <c r="G536" s="34">
        <v>50000000</v>
      </c>
      <c r="H536" s="35">
        <v>98.6</v>
      </c>
      <c r="I536" s="34">
        <v>49295664</v>
      </c>
      <c r="J536" s="46">
        <f>100000+400000+126000+78336</f>
        <v>704336</v>
      </c>
    </row>
    <row r="537" spans="1:11" s="58" customFormat="1" ht="45.75" customHeight="1" x14ac:dyDescent="0.2">
      <c r="A537" s="16"/>
      <c r="B537" s="16"/>
      <c r="C537" s="16"/>
      <c r="D537" s="16"/>
      <c r="E537" s="17"/>
      <c r="F537" s="69" t="s">
        <v>620</v>
      </c>
      <c r="G537" s="34">
        <v>9379774</v>
      </c>
      <c r="H537" s="35">
        <v>1.8</v>
      </c>
      <c r="I537" s="34">
        <v>168128</v>
      </c>
      <c r="J537" s="46">
        <f>211802+3000000+2999844+3000000</f>
        <v>9211646</v>
      </c>
      <c r="K537" s="109"/>
    </row>
    <row r="538" spans="1:11" s="58" customFormat="1" ht="18.75" customHeight="1" x14ac:dyDescent="0.2">
      <c r="A538" s="16"/>
      <c r="B538" s="16"/>
      <c r="C538" s="16"/>
      <c r="D538" s="16"/>
      <c r="E538" s="17"/>
      <c r="F538" s="21" t="s">
        <v>369</v>
      </c>
      <c r="G538" s="34"/>
      <c r="H538" s="35"/>
      <c r="I538" s="34"/>
      <c r="J538" s="46"/>
    </row>
    <row r="539" spans="1:11" s="58" customFormat="1" ht="40.5" customHeight="1" x14ac:dyDescent="0.2">
      <c r="A539" s="16"/>
      <c r="B539" s="16"/>
      <c r="C539" s="16"/>
      <c r="D539" s="16"/>
      <c r="E539" s="17"/>
      <c r="F539" s="17" t="s">
        <v>621</v>
      </c>
      <c r="G539" s="34">
        <v>450000</v>
      </c>
      <c r="H539" s="35">
        <v>0</v>
      </c>
      <c r="I539" s="34"/>
      <c r="J539" s="46">
        <f>3000000-2000000-550000</f>
        <v>450000</v>
      </c>
    </row>
    <row r="540" spans="1:11" s="58" customFormat="1" ht="40.5" customHeight="1" x14ac:dyDescent="0.2">
      <c r="A540" s="16"/>
      <c r="B540" s="16"/>
      <c r="C540" s="16"/>
      <c r="D540" s="16"/>
      <c r="E540" s="17"/>
      <c r="F540" s="17" t="s">
        <v>622</v>
      </c>
      <c r="G540" s="34">
        <v>9623016</v>
      </c>
      <c r="H540" s="35">
        <v>96</v>
      </c>
      <c r="I540" s="34">
        <v>9239860</v>
      </c>
      <c r="J540" s="46">
        <f>200000+153156+30000</f>
        <v>383156</v>
      </c>
    </row>
    <row r="541" spans="1:11" s="58" customFormat="1" ht="45.75" customHeight="1" x14ac:dyDescent="0.2">
      <c r="A541" s="16"/>
      <c r="B541" s="16"/>
      <c r="C541" s="16"/>
      <c r="D541" s="16"/>
      <c r="E541" s="17"/>
      <c r="F541" s="137" t="s">
        <v>623</v>
      </c>
      <c r="G541" s="34">
        <v>500000</v>
      </c>
      <c r="H541" s="35"/>
      <c r="I541" s="34"/>
      <c r="J541" s="46">
        <f>100000+400000</f>
        <v>500000</v>
      </c>
    </row>
    <row r="542" spans="1:11" s="58" customFormat="1" ht="40.5" customHeight="1" x14ac:dyDescent="0.2">
      <c r="A542" s="16"/>
      <c r="B542" s="16"/>
      <c r="C542" s="16"/>
      <c r="D542" s="16"/>
      <c r="E542" s="17"/>
      <c r="F542" s="89" t="s">
        <v>624</v>
      </c>
      <c r="G542" s="34">
        <v>31405831</v>
      </c>
      <c r="H542" s="35">
        <v>98.3</v>
      </c>
      <c r="I542" s="34">
        <v>30864581</v>
      </c>
      <c r="J542" s="46">
        <f>200000+654669+1500000-50000-1699886-40000-23533</f>
        <v>541250</v>
      </c>
    </row>
    <row r="543" spans="1:11" s="58" customFormat="1" ht="60" x14ac:dyDescent="0.2">
      <c r="A543" s="16"/>
      <c r="B543" s="16"/>
      <c r="C543" s="16"/>
      <c r="D543" s="16"/>
      <c r="E543" s="17"/>
      <c r="F543" s="17" t="s">
        <v>625</v>
      </c>
      <c r="G543" s="34">
        <v>9000000</v>
      </c>
      <c r="H543" s="35">
        <v>98.5</v>
      </c>
      <c r="I543" s="34">
        <v>8864665</v>
      </c>
      <c r="J543" s="46">
        <f>50000+105335-20000</f>
        <v>135335</v>
      </c>
    </row>
    <row r="544" spans="1:11" s="58" customFormat="1" ht="21" customHeight="1" x14ac:dyDescent="0.2">
      <c r="A544" s="16"/>
      <c r="B544" s="16"/>
      <c r="C544" s="16"/>
      <c r="D544" s="16"/>
      <c r="E544" s="17"/>
      <c r="F544" s="22" t="s">
        <v>365</v>
      </c>
      <c r="G544" s="34"/>
      <c r="H544" s="35"/>
      <c r="I544" s="34"/>
      <c r="J544" s="46"/>
    </row>
    <row r="545" spans="1:10" s="58" customFormat="1" ht="49.5" customHeight="1" x14ac:dyDescent="0.2">
      <c r="A545" s="16"/>
      <c r="B545" s="16"/>
      <c r="C545" s="16"/>
      <c r="D545" s="16"/>
      <c r="E545" s="17"/>
      <c r="F545" s="17" t="s">
        <v>626</v>
      </c>
      <c r="G545" s="34">
        <v>25957806</v>
      </c>
      <c r="H545" s="35">
        <v>12.1</v>
      </c>
      <c r="I545" s="34">
        <v>3136075</v>
      </c>
      <c r="J545" s="46">
        <f>17000000+2812333+65226</f>
        <v>19877559</v>
      </c>
    </row>
    <row r="546" spans="1:10" s="58" customFormat="1" ht="51" customHeight="1" x14ac:dyDescent="0.2">
      <c r="A546" s="16"/>
      <c r="B546" s="16"/>
      <c r="C546" s="16"/>
      <c r="D546" s="16"/>
      <c r="E546" s="17"/>
      <c r="F546" s="18" t="s">
        <v>627</v>
      </c>
      <c r="G546" s="34">
        <v>10664291</v>
      </c>
      <c r="H546" s="35">
        <v>55.7</v>
      </c>
      <c r="I546" s="34">
        <v>5937421</v>
      </c>
      <c r="J546" s="46">
        <f>100000+400000+226870+4000000</f>
        <v>4726870</v>
      </c>
    </row>
    <row r="547" spans="1:10" s="58" customFormat="1" ht="15" x14ac:dyDescent="0.2">
      <c r="A547" s="16"/>
      <c r="B547" s="16"/>
      <c r="C547" s="16"/>
      <c r="D547" s="16"/>
      <c r="E547" s="17"/>
      <c r="F547" s="22" t="s">
        <v>372</v>
      </c>
      <c r="G547" s="34"/>
      <c r="H547" s="35"/>
      <c r="I547" s="34"/>
      <c r="J547" s="46"/>
    </row>
    <row r="548" spans="1:10" s="58" customFormat="1" ht="75" x14ac:dyDescent="0.2">
      <c r="A548" s="16"/>
      <c r="B548" s="16"/>
      <c r="C548" s="16"/>
      <c r="D548" s="16"/>
      <c r="E548" s="17"/>
      <c r="F548" s="32" t="s">
        <v>628</v>
      </c>
      <c r="G548" s="34">
        <v>2363148</v>
      </c>
      <c r="H548" s="35">
        <v>9.5</v>
      </c>
      <c r="I548" s="34">
        <v>224665</v>
      </c>
      <c r="J548" s="46">
        <f>2500000-136852-264665+40000</f>
        <v>2138483</v>
      </c>
    </row>
    <row r="549" spans="1:10" s="58" customFormat="1" ht="39.75" customHeight="1" x14ac:dyDescent="0.2">
      <c r="A549" s="16"/>
      <c r="B549" s="16"/>
      <c r="C549" s="16"/>
      <c r="D549" s="16"/>
      <c r="E549" s="17"/>
      <c r="F549" s="32" t="s">
        <v>629</v>
      </c>
      <c r="G549" s="34">
        <v>4546291</v>
      </c>
      <c r="H549" s="35">
        <v>10.5</v>
      </c>
      <c r="I549" s="34">
        <v>479633</v>
      </c>
      <c r="J549" s="46">
        <f>1779382-1069961+40000</f>
        <v>749421</v>
      </c>
    </row>
    <row r="550" spans="1:10" s="58" customFormat="1" ht="62.25" customHeight="1" x14ac:dyDescent="0.2">
      <c r="A550" s="16"/>
      <c r="B550" s="16"/>
      <c r="C550" s="16"/>
      <c r="D550" s="16"/>
      <c r="E550" s="17"/>
      <c r="F550" s="32" t="s">
        <v>630</v>
      </c>
      <c r="G550" s="34">
        <v>1871755</v>
      </c>
      <c r="H550" s="35">
        <v>16.899999999999999</v>
      </c>
      <c r="I550" s="34">
        <v>316109</v>
      </c>
      <c r="J550" s="46">
        <f>208614+40000</f>
        <v>248614</v>
      </c>
    </row>
    <row r="551" spans="1:10" s="58" customFormat="1" ht="62.25" customHeight="1" x14ac:dyDescent="0.2">
      <c r="A551" s="16"/>
      <c r="B551" s="16"/>
      <c r="C551" s="16"/>
      <c r="D551" s="16"/>
      <c r="E551" s="17"/>
      <c r="F551" s="17" t="s">
        <v>631</v>
      </c>
      <c r="G551" s="34">
        <v>9131988</v>
      </c>
      <c r="H551" s="35">
        <v>8.9</v>
      </c>
      <c r="I551" s="34">
        <v>815556</v>
      </c>
      <c r="J551" s="46">
        <f>7000000+1000000-490512+806944</f>
        <v>8316432</v>
      </c>
    </row>
    <row r="552" spans="1:10" s="58" customFormat="1" ht="45" x14ac:dyDescent="0.2">
      <c r="A552" s="16"/>
      <c r="B552" s="16"/>
      <c r="C552" s="16"/>
      <c r="D552" s="16"/>
      <c r="E552" s="17"/>
      <c r="F552" s="17" t="s">
        <v>632</v>
      </c>
      <c r="G552" s="34">
        <v>25000000</v>
      </c>
      <c r="H552" s="35">
        <v>99.1</v>
      </c>
      <c r="I552" s="34">
        <v>24770000</v>
      </c>
      <c r="J552" s="46">
        <f>200000+500000-450000-20000</f>
        <v>230000</v>
      </c>
    </row>
    <row r="553" spans="1:10" s="58" customFormat="1" ht="60" x14ac:dyDescent="0.2">
      <c r="A553" s="16"/>
      <c r="B553" s="16"/>
      <c r="C553" s="16"/>
      <c r="D553" s="16"/>
      <c r="E553" s="17"/>
      <c r="F553" s="17" t="s">
        <v>633</v>
      </c>
      <c r="G553" s="34">
        <v>5000000</v>
      </c>
      <c r="H553" s="35">
        <v>80</v>
      </c>
      <c r="I553" s="34">
        <v>3999251</v>
      </c>
      <c r="J553" s="46">
        <f>1000000+381749-381000</f>
        <v>1000749</v>
      </c>
    </row>
    <row r="554" spans="1:10" s="58" customFormat="1" ht="19.5" customHeight="1" x14ac:dyDescent="0.2">
      <c r="A554" s="16"/>
      <c r="B554" s="16"/>
      <c r="C554" s="16"/>
      <c r="D554" s="16"/>
      <c r="E554" s="17"/>
      <c r="F554" s="22" t="s">
        <v>374</v>
      </c>
      <c r="G554" s="34"/>
      <c r="H554" s="35"/>
      <c r="I554" s="34"/>
      <c r="J554" s="46"/>
    </row>
    <row r="555" spans="1:10" s="58" customFormat="1" ht="42.75" customHeight="1" x14ac:dyDescent="0.2">
      <c r="A555" s="16"/>
      <c r="B555" s="16"/>
      <c r="C555" s="16"/>
      <c r="D555" s="16"/>
      <c r="E555" s="17"/>
      <c r="F555" s="18" t="s">
        <v>634</v>
      </c>
      <c r="G555" s="34">
        <v>9557909</v>
      </c>
      <c r="H555" s="35"/>
      <c r="I555" s="34"/>
      <c r="J555" s="46">
        <f>275449+200978</f>
        <v>476427</v>
      </c>
    </row>
    <row r="556" spans="1:10" s="58" customFormat="1" ht="39" customHeight="1" x14ac:dyDescent="0.2">
      <c r="A556" s="16"/>
      <c r="B556" s="16"/>
      <c r="C556" s="16"/>
      <c r="D556" s="16"/>
      <c r="E556" s="17"/>
      <c r="F556" s="17" t="s">
        <v>635</v>
      </c>
      <c r="G556" s="34">
        <v>20000000</v>
      </c>
      <c r="H556" s="35">
        <v>94.6</v>
      </c>
      <c r="I556" s="34">
        <v>18928702</v>
      </c>
      <c r="J556" s="46">
        <f>200000+360588+360710+100000+50000</f>
        <v>1071298</v>
      </c>
    </row>
    <row r="557" spans="1:10" s="58" customFormat="1" ht="33.75" customHeight="1" x14ac:dyDescent="0.2">
      <c r="A557" s="16"/>
      <c r="B557" s="16"/>
      <c r="C557" s="16"/>
      <c r="D557" s="16"/>
      <c r="E557" s="17"/>
      <c r="F557" s="66" t="s">
        <v>636</v>
      </c>
      <c r="G557" s="34">
        <v>25000000</v>
      </c>
      <c r="H557" s="35">
        <v>95.1</v>
      </c>
      <c r="I557" s="34">
        <v>23777287</v>
      </c>
      <c r="J557" s="46">
        <f>200000+616137-100000+235765+270811</f>
        <v>1222713</v>
      </c>
    </row>
    <row r="558" spans="1:10" s="58" customFormat="1" ht="33.75" customHeight="1" x14ac:dyDescent="0.2">
      <c r="A558" s="16"/>
      <c r="B558" s="16"/>
      <c r="C558" s="16"/>
      <c r="D558" s="16"/>
      <c r="E558" s="17"/>
      <c r="F558" s="17" t="s">
        <v>637</v>
      </c>
      <c r="G558" s="34">
        <v>13692597</v>
      </c>
      <c r="H558" s="35">
        <v>18.100000000000001</v>
      </c>
      <c r="I558" s="34">
        <v>2475903</v>
      </c>
      <c r="J558" s="46">
        <f>5600000-2100000+4024864+781346</f>
        <v>8306210</v>
      </c>
    </row>
    <row r="559" spans="1:10" s="58" customFormat="1" ht="19.5" customHeight="1" x14ac:dyDescent="0.2">
      <c r="A559" s="16"/>
      <c r="B559" s="16"/>
      <c r="C559" s="16"/>
      <c r="D559" s="16"/>
      <c r="E559" s="17"/>
      <c r="F559" s="22" t="s">
        <v>232</v>
      </c>
      <c r="G559" s="34"/>
      <c r="H559" s="35"/>
      <c r="I559" s="34"/>
      <c r="J559" s="47">
        <v>3354053</v>
      </c>
    </row>
    <row r="560" spans="1:10" s="58" customFormat="1" ht="33.75" customHeight="1" x14ac:dyDescent="0.2">
      <c r="A560" s="16"/>
      <c r="B560" s="16"/>
      <c r="C560" s="16"/>
      <c r="D560" s="16"/>
      <c r="E560" s="17"/>
      <c r="F560" s="66" t="s">
        <v>638</v>
      </c>
      <c r="G560" s="34">
        <v>47951262</v>
      </c>
      <c r="H560" s="35">
        <v>97.9</v>
      </c>
      <c r="I560" s="34">
        <v>46930719</v>
      </c>
      <c r="J560" s="46">
        <f>100000+820543+100000</f>
        <v>1020543</v>
      </c>
    </row>
    <row r="561" spans="1:10" s="58" customFormat="1" ht="18" customHeight="1" x14ac:dyDescent="0.2">
      <c r="A561" s="16"/>
      <c r="B561" s="16"/>
      <c r="C561" s="16"/>
      <c r="D561" s="16"/>
      <c r="E561" s="17"/>
      <c r="F561" s="22" t="s">
        <v>315</v>
      </c>
      <c r="G561" s="34"/>
      <c r="H561" s="35"/>
      <c r="I561" s="34"/>
      <c r="J561" s="46"/>
    </row>
    <row r="562" spans="1:10" s="58" customFormat="1" ht="62.25" customHeight="1" x14ac:dyDescent="0.2">
      <c r="A562" s="16"/>
      <c r="B562" s="16"/>
      <c r="C562" s="16"/>
      <c r="D562" s="16"/>
      <c r="E562" s="17"/>
      <c r="F562" s="18" t="s">
        <v>639</v>
      </c>
      <c r="G562" s="34">
        <v>512191</v>
      </c>
      <c r="H562" s="35">
        <v>32</v>
      </c>
      <c r="I562" s="34">
        <v>163849</v>
      </c>
      <c r="J562" s="46">
        <v>181159</v>
      </c>
    </row>
    <row r="563" spans="1:10" s="58" customFormat="1" ht="40.5" customHeight="1" x14ac:dyDescent="0.2">
      <c r="A563" s="16"/>
      <c r="B563" s="16"/>
      <c r="C563" s="16"/>
      <c r="D563" s="16"/>
      <c r="E563" s="17"/>
      <c r="F563" s="17" t="s">
        <v>640</v>
      </c>
      <c r="G563" s="34">
        <v>15774875</v>
      </c>
      <c r="H563" s="35">
        <v>95.7</v>
      </c>
      <c r="I563" s="34">
        <v>15093790</v>
      </c>
      <c r="J563" s="46">
        <f>5000000-3610603-673200-52000+16888</f>
        <v>681085</v>
      </c>
    </row>
    <row r="564" spans="1:10" s="58" customFormat="1" ht="42.75" customHeight="1" x14ac:dyDescent="0.2">
      <c r="A564" s="16"/>
      <c r="B564" s="16"/>
      <c r="C564" s="16"/>
      <c r="D564" s="16"/>
      <c r="E564" s="17"/>
      <c r="F564" s="17" t="s">
        <v>641</v>
      </c>
      <c r="G564" s="34">
        <v>1120826</v>
      </c>
      <c r="H564" s="35">
        <v>0</v>
      </c>
      <c r="I564" s="34">
        <v>0</v>
      </c>
      <c r="J564" s="46">
        <f>500000+179434+273317+108075+60000</f>
        <v>1120826</v>
      </c>
    </row>
    <row r="565" spans="1:10" s="58" customFormat="1" ht="44.25" customHeight="1" x14ac:dyDescent="0.2">
      <c r="A565" s="16"/>
      <c r="B565" s="16"/>
      <c r="C565" s="16"/>
      <c r="D565" s="16"/>
      <c r="E565" s="17"/>
      <c r="F565" s="66" t="s">
        <v>642</v>
      </c>
      <c r="G565" s="34">
        <v>16918764</v>
      </c>
      <c r="H565" s="35">
        <v>72.3</v>
      </c>
      <c r="I565" s="34">
        <v>12230047</v>
      </c>
      <c r="J565" s="46">
        <f>14148945-7500000-1500000-1000000</f>
        <v>4148945</v>
      </c>
    </row>
    <row r="566" spans="1:10" s="58" customFormat="1" ht="44.25" customHeight="1" x14ac:dyDescent="0.2">
      <c r="A566" s="16"/>
      <c r="B566" s="16"/>
      <c r="C566" s="16"/>
      <c r="D566" s="16"/>
      <c r="E566" s="17"/>
      <c r="F566" s="17" t="s">
        <v>643</v>
      </c>
      <c r="G566" s="34">
        <v>35000000</v>
      </c>
      <c r="H566" s="35">
        <v>98.6</v>
      </c>
      <c r="I566" s="34">
        <v>34500000</v>
      </c>
      <c r="J566" s="46">
        <f>100000+343606+176394-120000</f>
        <v>500000</v>
      </c>
    </row>
    <row r="567" spans="1:10" s="58" customFormat="1" ht="44.25" customHeight="1" x14ac:dyDescent="0.2">
      <c r="A567" s="16"/>
      <c r="B567" s="16"/>
      <c r="C567" s="16"/>
      <c r="D567" s="16"/>
      <c r="E567" s="17"/>
      <c r="F567" s="17" t="s">
        <v>644</v>
      </c>
      <c r="G567" s="34">
        <v>8000000</v>
      </c>
      <c r="H567" s="35">
        <v>91</v>
      </c>
      <c r="I567" s="34">
        <v>7280000</v>
      </c>
      <c r="J567" s="46">
        <f>100000+300000+320000</f>
        <v>720000</v>
      </c>
    </row>
    <row r="568" spans="1:10" s="58" customFormat="1" ht="15" x14ac:dyDescent="0.2">
      <c r="A568" s="16"/>
      <c r="B568" s="16"/>
      <c r="C568" s="16"/>
      <c r="D568" s="16"/>
      <c r="E568" s="17"/>
      <c r="F568" s="22" t="s">
        <v>380</v>
      </c>
      <c r="G568" s="34"/>
      <c r="H568" s="35"/>
      <c r="I568" s="34"/>
      <c r="J568" s="46"/>
    </row>
    <row r="569" spans="1:10" s="58" customFormat="1" ht="30" x14ac:dyDescent="0.2">
      <c r="A569" s="16"/>
      <c r="B569" s="16"/>
      <c r="C569" s="16"/>
      <c r="D569" s="16"/>
      <c r="E569" s="17"/>
      <c r="F569" s="18" t="s">
        <v>645</v>
      </c>
      <c r="G569" s="34">
        <v>25929283</v>
      </c>
      <c r="H569" s="35">
        <v>16.3</v>
      </c>
      <c r="I569" s="34">
        <v>4237932</v>
      </c>
      <c r="J569" s="46">
        <f>7000000+7816792-1000000</f>
        <v>13816792</v>
      </c>
    </row>
    <row r="570" spans="1:10" s="58" customFormat="1" ht="30" x14ac:dyDescent="0.2">
      <c r="A570" s="16"/>
      <c r="B570" s="16"/>
      <c r="C570" s="16"/>
      <c r="D570" s="16"/>
      <c r="E570" s="17"/>
      <c r="F570" s="18" t="s">
        <v>646</v>
      </c>
      <c r="G570" s="34">
        <v>1274056</v>
      </c>
      <c r="H570" s="35">
        <v>69.900000000000006</v>
      </c>
      <c r="I570" s="34">
        <v>891016</v>
      </c>
      <c r="J570" s="46">
        <f>1000000-500859-16960-99141</f>
        <v>383040</v>
      </c>
    </row>
    <row r="571" spans="1:10" s="58" customFormat="1" ht="60" x14ac:dyDescent="0.2">
      <c r="A571" s="16"/>
      <c r="B571" s="16"/>
      <c r="C571" s="16"/>
      <c r="D571" s="16"/>
      <c r="E571" s="17"/>
      <c r="F571" s="137" t="s">
        <v>647</v>
      </c>
      <c r="G571" s="34">
        <v>34056555</v>
      </c>
      <c r="H571" s="35">
        <v>58.9</v>
      </c>
      <c r="I571" s="34">
        <v>20056555</v>
      </c>
      <c r="J571" s="46">
        <f>7500000-5500000+7000000+5000000</f>
        <v>14000000</v>
      </c>
    </row>
    <row r="572" spans="1:10" s="58" customFormat="1" ht="15" x14ac:dyDescent="0.2">
      <c r="A572" s="16"/>
      <c r="B572" s="16"/>
      <c r="C572" s="16"/>
      <c r="D572" s="16"/>
      <c r="E572" s="17"/>
      <c r="F572" s="138" t="s">
        <v>232</v>
      </c>
      <c r="G572" s="34"/>
      <c r="H572" s="35"/>
      <c r="I572" s="34"/>
      <c r="J572" s="47">
        <v>5000000</v>
      </c>
    </row>
    <row r="573" spans="1:10" s="58" customFormat="1" ht="87.75" customHeight="1" x14ac:dyDescent="0.2">
      <c r="A573" s="16"/>
      <c r="B573" s="16"/>
      <c r="C573" s="16"/>
      <c r="D573" s="16"/>
      <c r="E573" s="17"/>
      <c r="F573" s="32" t="s">
        <v>648</v>
      </c>
      <c r="G573" s="34">
        <v>17625354</v>
      </c>
      <c r="H573" s="35">
        <v>1.3</v>
      </c>
      <c r="I573" s="34">
        <v>225301</v>
      </c>
      <c r="J573" s="46">
        <f>3045847-4938+2059091+2500000+234469+40000</f>
        <v>7874469</v>
      </c>
    </row>
    <row r="574" spans="1:10" s="58" customFormat="1" ht="40.5" customHeight="1" x14ac:dyDescent="0.2">
      <c r="A574" s="16"/>
      <c r="B574" s="16"/>
      <c r="C574" s="16"/>
      <c r="D574" s="16"/>
      <c r="E574" s="17"/>
      <c r="F574" s="32" t="s">
        <v>649</v>
      </c>
      <c r="G574" s="34">
        <v>12281422</v>
      </c>
      <c r="H574" s="35">
        <v>1.6</v>
      </c>
      <c r="I574" s="34">
        <v>200000</v>
      </c>
      <c r="J574" s="46">
        <f>3500000+1073475+2500000</f>
        <v>7073475</v>
      </c>
    </row>
    <row r="575" spans="1:10" s="58" customFormat="1" ht="50.25" customHeight="1" x14ac:dyDescent="0.2">
      <c r="A575" s="16"/>
      <c r="B575" s="16"/>
      <c r="C575" s="16"/>
      <c r="D575" s="16"/>
      <c r="E575" s="17"/>
      <c r="F575" s="32" t="s">
        <v>650</v>
      </c>
      <c r="G575" s="34">
        <v>29786688</v>
      </c>
      <c r="H575" s="35">
        <v>47.2</v>
      </c>
      <c r="I575" s="34">
        <v>14054813</v>
      </c>
      <c r="J575" s="46">
        <f>3500000+3966412+5000000</f>
        <v>12466412</v>
      </c>
    </row>
    <row r="576" spans="1:10" s="58" customFormat="1" ht="15" x14ac:dyDescent="0.2">
      <c r="A576" s="16"/>
      <c r="B576" s="16"/>
      <c r="C576" s="16"/>
      <c r="D576" s="16"/>
      <c r="E576" s="17"/>
      <c r="F576" s="22" t="s">
        <v>232</v>
      </c>
      <c r="G576" s="34"/>
      <c r="H576" s="35"/>
      <c r="I576" s="34"/>
      <c r="J576" s="47">
        <v>5000000</v>
      </c>
    </row>
    <row r="577" spans="1:10" s="58" customFormat="1" ht="35.25" customHeight="1" x14ac:dyDescent="0.2">
      <c r="A577" s="16"/>
      <c r="B577" s="16"/>
      <c r="C577" s="16"/>
      <c r="D577" s="16"/>
      <c r="E577" s="17"/>
      <c r="F577" s="17" t="s">
        <v>651</v>
      </c>
      <c r="G577" s="34">
        <v>7929326</v>
      </c>
      <c r="H577" s="35">
        <v>99.63</v>
      </c>
      <c r="I577" s="34">
        <v>7900000</v>
      </c>
      <c r="J577" s="46">
        <f>8433000-503674-7900000</f>
        <v>29326</v>
      </c>
    </row>
    <row r="578" spans="1:10" s="58" customFormat="1" ht="46.5" customHeight="1" x14ac:dyDescent="0.2">
      <c r="A578" s="16"/>
      <c r="B578" s="16"/>
      <c r="C578" s="16"/>
      <c r="D578" s="16"/>
      <c r="E578" s="17"/>
      <c r="F578" s="17" t="s">
        <v>652</v>
      </c>
      <c r="G578" s="34">
        <v>60000000</v>
      </c>
      <c r="H578" s="35">
        <v>0.1</v>
      </c>
      <c r="I578" s="34">
        <v>50000</v>
      </c>
      <c r="J578" s="46">
        <f>200000+320000+980000+100000-50000</f>
        <v>1550000</v>
      </c>
    </row>
    <row r="579" spans="1:10" s="58" customFormat="1" ht="16.5" customHeight="1" x14ac:dyDescent="0.2">
      <c r="A579" s="16"/>
      <c r="B579" s="16"/>
      <c r="C579" s="16"/>
      <c r="D579" s="16"/>
      <c r="E579" s="17"/>
      <c r="F579" s="22" t="s">
        <v>382</v>
      </c>
      <c r="G579" s="34"/>
      <c r="H579" s="35"/>
      <c r="I579" s="34"/>
      <c r="J579" s="46"/>
    </row>
    <row r="580" spans="1:10" s="58" customFormat="1" ht="53.25" customHeight="1" x14ac:dyDescent="0.2">
      <c r="A580" s="16"/>
      <c r="B580" s="16"/>
      <c r="C580" s="16"/>
      <c r="D580" s="16"/>
      <c r="E580" s="17"/>
      <c r="F580" s="18" t="s">
        <v>653</v>
      </c>
      <c r="G580" s="34">
        <v>12825501</v>
      </c>
      <c r="H580" s="35">
        <v>8.5</v>
      </c>
      <c r="I580" s="34">
        <v>1091374</v>
      </c>
      <c r="J580" s="46">
        <f>678410+600000</f>
        <v>1278410</v>
      </c>
    </row>
    <row r="581" spans="1:10" s="58" customFormat="1" ht="15" x14ac:dyDescent="0.2">
      <c r="A581" s="16"/>
      <c r="B581" s="16"/>
      <c r="C581" s="16"/>
      <c r="D581" s="16"/>
      <c r="E581" s="17"/>
      <c r="F581" s="22" t="s">
        <v>323</v>
      </c>
      <c r="G581" s="34"/>
      <c r="H581" s="35"/>
      <c r="I581" s="34"/>
      <c r="J581" s="46"/>
    </row>
    <row r="582" spans="1:10" s="58" customFormat="1" ht="45" x14ac:dyDescent="0.2">
      <c r="A582" s="16"/>
      <c r="B582" s="16"/>
      <c r="C582" s="16"/>
      <c r="D582" s="16"/>
      <c r="E582" s="17"/>
      <c r="F582" s="32" t="s">
        <v>654</v>
      </c>
      <c r="G582" s="34">
        <v>9481897</v>
      </c>
      <c r="H582" s="35">
        <v>0</v>
      </c>
      <c r="I582" s="34"/>
      <c r="J582" s="46">
        <f>2000000+4041000-473085+763000+50000</f>
        <v>6380915</v>
      </c>
    </row>
    <row r="583" spans="1:10" s="58" customFormat="1" ht="75" x14ac:dyDescent="0.2">
      <c r="A583" s="16"/>
      <c r="B583" s="16"/>
      <c r="C583" s="16"/>
      <c r="D583" s="16"/>
      <c r="E583" s="17"/>
      <c r="F583" s="32" t="s">
        <v>655</v>
      </c>
      <c r="G583" s="34">
        <v>11903754</v>
      </c>
      <c r="H583" s="35">
        <v>4.5999999999999996</v>
      </c>
      <c r="I583" s="34">
        <v>550034</v>
      </c>
      <c r="J583" s="46">
        <f>1590977+1600000+1614000-400000</f>
        <v>4404977</v>
      </c>
    </row>
    <row r="584" spans="1:10" s="58" customFormat="1" ht="63" customHeight="1" x14ac:dyDescent="0.2">
      <c r="A584" s="16"/>
      <c r="B584" s="16"/>
      <c r="C584" s="16"/>
      <c r="D584" s="16"/>
      <c r="E584" s="17"/>
      <c r="F584" s="32" t="s">
        <v>656</v>
      </c>
      <c r="G584" s="34">
        <v>20000000</v>
      </c>
      <c r="H584" s="35">
        <v>87.4</v>
      </c>
      <c r="I584" s="34">
        <v>17474894</v>
      </c>
      <c r="J584" s="46">
        <f>200000+400000+5000000-3074894</f>
        <v>2525106</v>
      </c>
    </row>
    <row r="585" spans="1:10" s="58" customFormat="1" ht="45" x14ac:dyDescent="0.2">
      <c r="A585" s="16"/>
      <c r="B585" s="16"/>
      <c r="C585" s="16"/>
      <c r="D585" s="16"/>
      <c r="E585" s="17"/>
      <c r="F585" s="139" t="s">
        <v>657</v>
      </c>
      <c r="G585" s="34">
        <v>25000000</v>
      </c>
      <c r="H585" s="35">
        <v>98.2</v>
      </c>
      <c r="I585" s="34">
        <v>24560000</v>
      </c>
      <c r="J585" s="46">
        <f>300000+140000</f>
        <v>440000</v>
      </c>
    </row>
    <row r="586" spans="1:10" s="58" customFormat="1" ht="18" customHeight="1" x14ac:dyDescent="0.2">
      <c r="A586" s="16"/>
      <c r="B586" s="16"/>
      <c r="C586" s="16"/>
      <c r="D586" s="16"/>
      <c r="E586" s="17"/>
      <c r="F586" s="21" t="s">
        <v>658</v>
      </c>
      <c r="G586" s="34"/>
      <c r="H586" s="35"/>
      <c r="I586" s="34"/>
      <c r="J586" s="46"/>
    </row>
    <row r="587" spans="1:10" s="58" customFormat="1" ht="30" x14ac:dyDescent="0.2">
      <c r="A587" s="16"/>
      <c r="B587" s="16"/>
      <c r="C587" s="16"/>
      <c r="D587" s="16"/>
      <c r="E587" s="17"/>
      <c r="F587" s="18" t="s">
        <v>659</v>
      </c>
      <c r="G587" s="34">
        <v>10908202</v>
      </c>
      <c r="H587" s="35">
        <v>0.2</v>
      </c>
      <c r="I587" s="34">
        <v>27086</v>
      </c>
      <c r="J587" s="46">
        <f>1000000+2400000+2500000+40000+2101000-8032</f>
        <v>8032968</v>
      </c>
    </row>
    <row r="588" spans="1:10" s="58" customFormat="1" ht="18" customHeight="1" x14ac:dyDescent="0.2">
      <c r="A588" s="16"/>
      <c r="B588" s="16"/>
      <c r="C588" s="16"/>
      <c r="D588" s="16"/>
      <c r="E588" s="17"/>
      <c r="F588" s="21" t="s">
        <v>385</v>
      </c>
      <c r="G588" s="34"/>
      <c r="H588" s="35"/>
      <c r="I588" s="34"/>
      <c r="J588" s="46"/>
    </row>
    <row r="589" spans="1:10" s="58" customFormat="1" ht="43.5" customHeight="1" x14ac:dyDescent="0.2">
      <c r="A589" s="16"/>
      <c r="B589" s="16"/>
      <c r="C589" s="16"/>
      <c r="D589" s="16"/>
      <c r="E589" s="17"/>
      <c r="F589" s="18" t="s">
        <v>660</v>
      </c>
      <c r="G589" s="34">
        <v>10575897</v>
      </c>
      <c r="H589" s="35">
        <v>42.4</v>
      </c>
      <c r="I589" s="34">
        <v>4487776</v>
      </c>
      <c r="J589" s="46">
        <f>8000000+2000000-211879-3000000-700000</f>
        <v>6088121</v>
      </c>
    </row>
    <row r="590" spans="1:10" s="58" customFormat="1" ht="46.5" customHeight="1" x14ac:dyDescent="0.2">
      <c r="A590" s="16"/>
      <c r="B590" s="16"/>
      <c r="C590" s="16"/>
      <c r="D590" s="16"/>
      <c r="E590" s="17"/>
      <c r="F590" s="18" t="s">
        <v>661</v>
      </c>
      <c r="G590" s="34">
        <v>14204790</v>
      </c>
      <c r="H590" s="35">
        <v>2.8</v>
      </c>
      <c r="I590" s="34">
        <v>395968</v>
      </c>
      <c r="J590" s="46">
        <f>1000000+1430066+40000</f>
        <v>2470066</v>
      </c>
    </row>
    <row r="591" spans="1:10" s="58" customFormat="1" ht="32.25" customHeight="1" x14ac:dyDescent="0.2">
      <c r="A591" s="16"/>
      <c r="B591" s="16"/>
      <c r="C591" s="16"/>
      <c r="D591" s="16"/>
      <c r="E591" s="17"/>
      <c r="F591" s="18" t="s">
        <v>662</v>
      </c>
      <c r="G591" s="34">
        <v>22496822</v>
      </c>
      <c r="H591" s="35">
        <v>97.3</v>
      </c>
      <c r="I591" s="34">
        <v>21889596</v>
      </c>
      <c r="J591" s="46">
        <f>200000+568700+1000000-900000-261474</f>
        <v>607226</v>
      </c>
    </row>
    <row r="592" spans="1:10" s="58" customFormat="1" ht="48" customHeight="1" x14ac:dyDescent="0.2">
      <c r="A592" s="16"/>
      <c r="B592" s="16"/>
      <c r="C592" s="16"/>
      <c r="D592" s="16"/>
      <c r="E592" s="17"/>
      <c r="F592" s="17" t="s">
        <v>663</v>
      </c>
      <c r="G592" s="34">
        <v>20000000</v>
      </c>
      <c r="H592" s="35">
        <v>92.5</v>
      </c>
      <c r="I592" s="34">
        <v>18500141</v>
      </c>
      <c r="J592" s="46">
        <f>100000+300000+426471+673388</f>
        <v>1499859</v>
      </c>
    </row>
    <row r="593" spans="1:10" s="58" customFormat="1" ht="48" customHeight="1" x14ac:dyDescent="0.2">
      <c r="A593" s="16"/>
      <c r="B593" s="16"/>
      <c r="C593" s="16"/>
      <c r="D593" s="16"/>
      <c r="E593" s="17"/>
      <c r="F593" s="17" t="s">
        <v>664</v>
      </c>
      <c r="G593" s="34">
        <v>35000000</v>
      </c>
      <c r="H593" s="35">
        <v>99.2</v>
      </c>
      <c r="I593" s="34">
        <v>34719645</v>
      </c>
      <c r="J593" s="46">
        <f>300000-100000+80355</f>
        <v>280355</v>
      </c>
    </row>
    <row r="594" spans="1:10" s="58" customFormat="1" ht="15" x14ac:dyDescent="0.2">
      <c r="A594" s="16"/>
      <c r="B594" s="16"/>
      <c r="C594" s="16"/>
      <c r="D594" s="16"/>
      <c r="E594" s="17"/>
      <c r="F594" s="21" t="s">
        <v>665</v>
      </c>
      <c r="G594" s="34"/>
      <c r="H594" s="35"/>
      <c r="I594" s="34"/>
      <c r="J594" s="46"/>
    </row>
    <row r="595" spans="1:10" s="58" customFormat="1" ht="60" x14ac:dyDescent="0.2">
      <c r="A595" s="16"/>
      <c r="B595" s="16"/>
      <c r="C595" s="16"/>
      <c r="D595" s="16"/>
      <c r="E595" s="17"/>
      <c r="F595" s="17" t="s">
        <v>666</v>
      </c>
      <c r="G595" s="34">
        <v>23450000</v>
      </c>
      <c r="H595" s="35">
        <v>96.4</v>
      </c>
      <c r="I595" s="34">
        <v>22600324</v>
      </c>
      <c r="J595" s="46">
        <v>550000</v>
      </c>
    </row>
    <row r="596" spans="1:10" s="58" customFormat="1" ht="31.5" customHeight="1" x14ac:dyDescent="0.2">
      <c r="A596" s="16"/>
      <c r="B596" s="16"/>
      <c r="C596" s="16"/>
      <c r="D596" s="16"/>
      <c r="E596" s="17"/>
      <c r="F596" s="18" t="s">
        <v>667</v>
      </c>
      <c r="G596" s="34">
        <v>15000000</v>
      </c>
      <c r="H596" s="35">
        <v>98</v>
      </c>
      <c r="I596" s="34">
        <v>14700000</v>
      </c>
      <c r="J596" s="46">
        <f>1046142+1953858-2850000+150000</f>
        <v>300000</v>
      </c>
    </row>
    <row r="597" spans="1:10" s="58" customFormat="1" ht="46.5" customHeight="1" x14ac:dyDescent="0.2">
      <c r="A597" s="16"/>
      <c r="B597" s="16"/>
      <c r="C597" s="16"/>
      <c r="D597" s="16"/>
      <c r="E597" s="17"/>
      <c r="F597" s="18" t="s">
        <v>668</v>
      </c>
      <c r="G597" s="34">
        <v>15000000</v>
      </c>
      <c r="H597" s="35">
        <v>98</v>
      </c>
      <c r="I597" s="34">
        <v>14700000</v>
      </c>
      <c r="J597" s="46">
        <f>1075880+3924120-4850000+150000</f>
        <v>300000</v>
      </c>
    </row>
    <row r="598" spans="1:10" s="58" customFormat="1" ht="30" x14ac:dyDescent="0.2">
      <c r="A598" s="16"/>
      <c r="B598" s="16"/>
      <c r="C598" s="16"/>
      <c r="D598" s="16"/>
      <c r="E598" s="17"/>
      <c r="F598" s="68" t="s">
        <v>669</v>
      </c>
      <c r="G598" s="34">
        <v>50000000</v>
      </c>
      <c r="H598" s="35">
        <v>97.7</v>
      </c>
      <c r="I598" s="34">
        <v>48837842</v>
      </c>
      <c r="J598" s="46">
        <f>100000+100000+912158+100000-50000</f>
        <v>1162158</v>
      </c>
    </row>
    <row r="599" spans="1:10" s="58" customFormat="1" ht="15" x14ac:dyDescent="0.2">
      <c r="A599" s="16"/>
      <c r="B599" s="16"/>
      <c r="C599" s="16"/>
      <c r="D599" s="16"/>
      <c r="E599" s="17"/>
      <c r="F599" s="21" t="s">
        <v>317</v>
      </c>
      <c r="G599" s="34"/>
      <c r="H599" s="35"/>
      <c r="I599" s="34"/>
      <c r="J599" s="46"/>
    </row>
    <row r="600" spans="1:10" s="58" customFormat="1" ht="45" x14ac:dyDescent="0.2">
      <c r="A600" s="16"/>
      <c r="B600" s="16"/>
      <c r="C600" s="16"/>
      <c r="D600" s="16"/>
      <c r="E600" s="17"/>
      <c r="F600" s="66" t="s">
        <v>670</v>
      </c>
      <c r="G600" s="34">
        <v>40227524</v>
      </c>
      <c r="H600" s="35">
        <v>79.7</v>
      </c>
      <c r="I600" s="34">
        <v>32046102</v>
      </c>
      <c r="J600" s="46">
        <f>18000000-4100000-3400000-2500000</f>
        <v>8000000</v>
      </c>
    </row>
    <row r="601" spans="1:10" s="58" customFormat="1" ht="37.5" customHeight="1" x14ac:dyDescent="0.2">
      <c r="A601" s="16"/>
      <c r="B601" s="16"/>
      <c r="C601" s="16"/>
      <c r="D601" s="16"/>
      <c r="E601" s="17"/>
      <c r="F601" s="18" t="s">
        <v>671</v>
      </c>
      <c r="G601" s="34">
        <v>4976477</v>
      </c>
      <c r="H601" s="35">
        <v>95.9</v>
      </c>
      <c r="I601" s="34">
        <v>4771998</v>
      </c>
      <c r="J601" s="46">
        <f>5000000-3334300-1000000-400000-50000-11221</f>
        <v>204479</v>
      </c>
    </row>
    <row r="602" spans="1:10" s="58" customFormat="1" ht="37.5" customHeight="1" x14ac:dyDescent="0.2">
      <c r="A602" s="16"/>
      <c r="B602" s="16"/>
      <c r="C602" s="16"/>
      <c r="D602" s="16"/>
      <c r="E602" s="17"/>
      <c r="F602" s="18" t="s">
        <v>672</v>
      </c>
      <c r="G602" s="34">
        <v>25000000</v>
      </c>
      <c r="H602" s="35">
        <v>97.6</v>
      </c>
      <c r="I602" s="34">
        <v>24400000</v>
      </c>
      <c r="J602" s="46">
        <f>100000+300000+200000</f>
        <v>600000</v>
      </c>
    </row>
    <row r="603" spans="1:10" s="58" customFormat="1" ht="15" x14ac:dyDescent="0.2">
      <c r="A603" s="16"/>
      <c r="B603" s="16"/>
      <c r="C603" s="16"/>
      <c r="D603" s="16"/>
      <c r="E603" s="17"/>
      <c r="F603" s="22" t="s">
        <v>319</v>
      </c>
      <c r="G603" s="34"/>
      <c r="H603" s="35"/>
      <c r="I603" s="34"/>
      <c r="J603" s="46"/>
    </row>
    <row r="604" spans="1:10" s="58" customFormat="1" ht="38.25" customHeight="1" x14ac:dyDescent="0.2">
      <c r="A604" s="16"/>
      <c r="B604" s="16"/>
      <c r="C604" s="16"/>
      <c r="D604" s="16"/>
      <c r="E604" s="17"/>
      <c r="F604" s="18" t="s">
        <v>673</v>
      </c>
      <c r="G604" s="34">
        <v>3185699</v>
      </c>
      <c r="H604" s="35"/>
      <c r="I604" s="34"/>
      <c r="J604" s="46">
        <v>55189</v>
      </c>
    </row>
    <row r="605" spans="1:10" s="58" customFormat="1" ht="18.75" customHeight="1" x14ac:dyDescent="0.2">
      <c r="A605" s="16"/>
      <c r="B605" s="16"/>
      <c r="C605" s="16"/>
      <c r="D605" s="16"/>
      <c r="E605" s="17"/>
      <c r="F605" s="18" t="s">
        <v>286</v>
      </c>
      <c r="G605" s="34"/>
      <c r="H605" s="35"/>
      <c r="I605" s="34"/>
      <c r="J605" s="46">
        <v>55189</v>
      </c>
    </row>
    <row r="606" spans="1:10" s="58" customFormat="1" ht="39.75" customHeight="1" x14ac:dyDescent="0.2">
      <c r="A606" s="16"/>
      <c r="B606" s="16"/>
      <c r="C606" s="16"/>
      <c r="D606" s="16"/>
      <c r="E606" s="17"/>
      <c r="F606" s="18" t="s">
        <v>674</v>
      </c>
      <c r="G606" s="34">
        <v>3860503</v>
      </c>
      <c r="H606" s="35">
        <v>91.3</v>
      </c>
      <c r="I606" s="34">
        <v>3525128</v>
      </c>
      <c r="J606" s="46">
        <f>200000+346050+50000-250000-10675</f>
        <v>335375</v>
      </c>
    </row>
    <row r="607" spans="1:10" s="58" customFormat="1" ht="39.75" customHeight="1" x14ac:dyDescent="0.2">
      <c r="A607" s="16"/>
      <c r="B607" s="16"/>
      <c r="C607" s="16"/>
      <c r="D607" s="16"/>
      <c r="E607" s="17"/>
      <c r="F607" s="17" t="s">
        <v>675</v>
      </c>
      <c r="G607" s="34">
        <v>15000000</v>
      </c>
      <c r="H607" s="35">
        <v>99.2</v>
      </c>
      <c r="I607" s="34">
        <v>14880000</v>
      </c>
      <c r="J607" s="46">
        <f>100000+300000-280000</f>
        <v>120000</v>
      </c>
    </row>
    <row r="608" spans="1:10" s="58" customFormat="1" ht="15" x14ac:dyDescent="0.2">
      <c r="A608" s="16"/>
      <c r="B608" s="16"/>
      <c r="C608" s="16"/>
      <c r="D608" s="16"/>
      <c r="E608" s="17"/>
      <c r="F608" s="22" t="s">
        <v>388</v>
      </c>
      <c r="G608" s="34"/>
      <c r="H608" s="35"/>
      <c r="I608" s="34"/>
      <c r="J608" s="46"/>
    </row>
    <row r="609" spans="1:10" s="58" customFormat="1" ht="50.25" customHeight="1" x14ac:dyDescent="0.2">
      <c r="A609" s="16"/>
      <c r="B609" s="16"/>
      <c r="C609" s="16"/>
      <c r="D609" s="16"/>
      <c r="E609" s="17"/>
      <c r="F609" s="18" t="s">
        <v>676</v>
      </c>
      <c r="G609" s="34">
        <v>18591835</v>
      </c>
      <c r="H609" s="35">
        <v>98.4</v>
      </c>
      <c r="I609" s="34">
        <v>18294202</v>
      </c>
      <c r="J609" s="46">
        <f>6000000+7000000+3000000-14000000-1702367</f>
        <v>297633</v>
      </c>
    </row>
    <row r="610" spans="1:10" s="58" customFormat="1" ht="81.75" customHeight="1" x14ac:dyDescent="0.2">
      <c r="A610" s="16"/>
      <c r="B610" s="16"/>
      <c r="C610" s="16"/>
      <c r="D610" s="16"/>
      <c r="E610" s="17"/>
      <c r="F610" s="18" t="s">
        <v>677</v>
      </c>
      <c r="G610" s="34">
        <v>5336210</v>
      </c>
      <c r="H610" s="35">
        <v>69.99998126010783</v>
      </c>
      <c r="I610" s="34">
        <v>3735346</v>
      </c>
      <c r="J610" s="46">
        <v>1600864</v>
      </c>
    </row>
    <row r="611" spans="1:10" s="58" customFormat="1" ht="24" customHeight="1" x14ac:dyDescent="0.2">
      <c r="A611" s="16"/>
      <c r="B611" s="16"/>
      <c r="C611" s="16"/>
      <c r="D611" s="16"/>
      <c r="E611" s="17"/>
      <c r="F611" s="22" t="s">
        <v>232</v>
      </c>
      <c r="G611" s="34"/>
      <c r="H611" s="35"/>
      <c r="I611" s="34"/>
      <c r="J611" s="47">
        <v>1334053</v>
      </c>
    </row>
    <row r="612" spans="1:10" s="58" customFormat="1" ht="18.75" customHeight="1" x14ac:dyDescent="0.2">
      <c r="A612" s="16"/>
      <c r="B612" s="16"/>
      <c r="C612" s="16"/>
      <c r="D612" s="16"/>
      <c r="E612" s="17"/>
      <c r="F612" s="22" t="s">
        <v>321</v>
      </c>
      <c r="G612" s="34"/>
      <c r="H612" s="35"/>
      <c r="I612" s="34"/>
      <c r="J612" s="46"/>
    </row>
    <row r="613" spans="1:10" s="58" customFormat="1" ht="30" x14ac:dyDescent="0.2">
      <c r="A613" s="16"/>
      <c r="B613" s="16"/>
      <c r="C613" s="16"/>
      <c r="D613" s="16"/>
      <c r="E613" s="17"/>
      <c r="F613" s="18" t="s">
        <v>678</v>
      </c>
      <c r="G613" s="34">
        <v>6979583</v>
      </c>
      <c r="H613" s="35">
        <v>11.2</v>
      </c>
      <c r="I613" s="34">
        <v>780373</v>
      </c>
      <c r="J613" s="46">
        <f>5000000+1500000-300790-519600+519600</f>
        <v>6199210</v>
      </c>
    </row>
    <row r="614" spans="1:10" s="58" customFormat="1" ht="44.25" customHeight="1" x14ac:dyDescent="0.2">
      <c r="A614" s="16"/>
      <c r="B614" s="16"/>
      <c r="C614" s="16"/>
      <c r="D614" s="16"/>
      <c r="E614" s="17"/>
      <c r="F614" s="66" t="s">
        <v>679</v>
      </c>
      <c r="G614" s="34">
        <v>20000000</v>
      </c>
      <c r="H614" s="35">
        <v>99.6</v>
      </c>
      <c r="I614" s="34">
        <v>19911258</v>
      </c>
      <c r="J614" s="46">
        <f>300000-100000-111258</f>
        <v>88742</v>
      </c>
    </row>
    <row r="615" spans="1:10" s="58" customFormat="1" ht="44.25" customHeight="1" x14ac:dyDescent="0.2">
      <c r="A615" s="16"/>
      <c r="B615" s="16"/>
      <c r="C615" s="16"/>
      <c r="D615" s="16"/>
      <c r="E615" s="17"/>
      <c r="F615" s="18" t="s">
        <v>680</v>
      </c>
      <c r="G615" s="34">
        <v>684156</v>
      </c>
      <c r="H615" s="35"/>
      <c r="I615" s="34"/>
      <c r="J615" s="46">
        <v>684156</v>
      </c>
    </row>
    <row r="616" spans="1:10" s="58" customFormat="1" ht="44.25" customHeight="1" x14ac:dyDescent="0.2">
      <c r="A616" s="16"/>
      <c r="B616" s="16"/>
      <c r="C616" s="16"/>
      <c r="D616" s="16"/>
      <c r="E616" s="17"/>
      <c r="F616" s="66" t="s">
        <v>681</v>
      </c>
      <c r="G616" s="34">
        <v>20374186</v>
      </c>
      <c r="H616" s="35">
        <v>99.8</v>
      </c>
      <c r="I616" s="34">
        <v>20324186</v>
      </c>
      <c r="J616" s="46">
        <f>200000+300000-400000-50000</f>
        <v>50000</v>
      </c>
    </row>
    <row r="617" spans="1:10" s="58" customFormat="1" ht="44.25" customHeight="1" x14ac:dyDescent="0.2">
      <c r="A617" s="16"/>
      <c r="B617" s="16"/>
      <c r="C617" s="16"/>
      <c r="D617" s="16"/>
      <c r="E617" s="17"/>
      <c r="F617" s="17" t="s">
        <v>682</v>
      </c>
      <c r="G617" s="34">
        <v>18269582</v>
      </c>
      <c r="H617" s="35">
        <v>98.4</v>
      </c>
      <c r="I617" s="34">
        <v>17981916</v>
      </c>
      <c r="J617" s="46">
        <f>200000+72213+367000+300000-50000-400000-50000-50000-101547</f>
        <v>287666</v>
      </c>
    </row>
    <row r="618" spans="1:10" s="58" customFormat="1" ht="44.25" customHeight="1" x14ac:dyDescent="0.2">
      <c r="A618" s="16"/>
      <c r="B618" s="16"/>
      <c r="C618" s="16"/>
      <c r="D618" s="16"/>
      <c r="E618" s="17"/>
      <c r="F618" s="17" t="s">
        <v>683</v>
      </c>
      <c r="G618" s="34">
        <v>20000000</v>
      </c>
      <c r="H618" s="35">
        <v>99.296625000000006</v>
      </c>
      <c r="I618" s="34">
        <v>19859325</v>
      </c>
      <c r="J618" s="46">
        <f>50000+130675-40000</f>
        <v>140675</v>
      </c>
    </row>
    <row r="619" spans="1:10" s="58" customFormat="1" ht="44.25" customHeight="1" x14ac:dyDescent="0.2">
      <c r="A619" s="16"/>
      <c r="B619" s="16"/>
      <c r="C619" s="16"/>
      <c r="D619" s="16"/>
      <c r="E619" s="17"/>
      <c r="F619" s="17" t="s">
        <v>684</v>
      </c>
      <c r="G619" s="34">
        <v>4562583</v>
      </c>
      <c r="H619" s="35">
        <v>87.42747255228015</v>
      </c>
      <c r="I619" s="34">
        <v>3988951</v>
      </c>
      <c r="J619" s="46">
        <f>200000+300000+73632</f>
        <v>573632</v>
      </c>
    </row>
    <row r="620" spans="1:10" s="58" customFormat="1" ht="15" x14ac:dyDescent="0.2">
      <c r="A620" s="16"/>
      <c r="B620" s="16"/>
      <c r="C620" s="16"/>
      <c r="D620" s="16"/>
      <c r="E620" s="17"/>
      <c r="F620" s="21" t="s">
        <v>393</v>
      </c>
      <c r="G620" s="34"/>
      <c r="H620" s="35"/>
      <c r="I620" s="34"/>
      <c r="J620" s="46"/>
    </row>
    <row r="621" spans="1:10" s="58" customFormat="1" ht="45" x14ac:dyDescent="0.2">
      <c r="A621" s="16"/>
      <c r="B621" s="16"/>
      <c r="C621" s="16"/>
      <c r="D621" s="16"/>
      <c r="E621" s="17"/>
      <c r="F621" s="18" t="s">
        <v>685</v>
      </c>
      <c r="G621" s="34">
        <v>16614365</v>
      </c>
      <c r="H621" s="35">
        <v>55.6</v>
      </c>
      <c r="I621" s="34">
        <v>9234924</v>
      </c>
      <c r="J621" s="46">
        <f>3900000+3500000+5000000-4000000-500000-2200000</f>
        <v>5700000</v>
      </c>
    </row>
    <row r="622" spans="1:10" s="58" customFormat="1" ht="51" customHeight="1" x14ac:dyDescent="0.2">
      <c r="A622" s="16"/>
      <c r="B622" s="16"/>
      <c r="C622" s="16"/>
      <c r="D622" s="16"/>
      <c r="E622" s="17"/>
      <c r="F622" s="18" t="s">
        <v>686</v>
      </c>
      <c r="G622" s="34">
        <v>8229715</v>
      </c>
      <c r="H622" s="35">
        <v>10.3</v>
      </c>
      <c r="I622" s="34">
        <v>845671</v>
      </c>
      <c r="J622" s="46">
        <f>500000+233873+1330000-400000</f>
        <v>1663873</v>
      </c>
    </row>
    <row r="623" spans="1:10" s="58" customFormat="1" ht="60" customHeight="1" x14ac:dyDescent="0.2">
      <c r="A623" s="16"/>
      <c r="B623" s="16"/>
      <c r="C623" s="16"/>
      <c r="D623" s="16"/>
      <c r="E623" s="17"/>
      <c r="F623" s="18" t="s">
        <v>687</v>
      </c>
      <c r="G623" s="34">
        <v>2149086</v>
      </c>
      <c r="H623" s="35">
        <v>0</v>
      </c>
      <c r="I623" s="34">
        <v>0</v>
      </c>
      <c r="J623" s="46">
        <f>78162+16980+40000+600000</f>
        <v>735142</v>
      </c>
    </row>
    <row r="624" spans="1:10" s="58" customFormat="1" ht="52.5" customHeight="1" x14ac:dyDescent="0.2">
      <c r="A624" s="16"/>
      <c r="B624" s="16"/>
      <c r="C624" s="16"/>
      <c r="D624" s="16"/>
      <c r="E624" s="17"/>
      <c r="F624" s="18" t="s">
        <v>688</v>
      </c>
      <c r="G624" s="34">
        <v>12823582</v>
      </c>
      <c r="H624" s="35">
        <v>8.9</v>
      </c>
      <c r="I624" s="34">
        <v>1143960</v>
      </c>
      <c r="J624" s="46">
        <f>1226739-3549-78871-523423</f>
        <v>620896</v>
      </c>
    </row>
    <row r="625" spans="1:10" s="58" customFormat="1" ht="52.5" customHeight="1" x14ac:dyDescent="0.2">
      <c r="A625" s="16"/>
      <c r="B625" s="16"/>
      <c r="C625" s="16"/>
      <c r="D625" s="16"/>
      <c r="E625" s="17"/>
      <c r="F625" s="18" t="s">
        <v>689</v>
      </c>
      <c r="G625" s="34">
        <v>14152093</v>
      </c>
      <c r="H625" s="35">
        <v>4.0999999999999996</v>
      </c>
      <c r="I625" s="34">
        <v>578271</v>
      </c>
      <c r="J625" s="46">
        <f>708985-14911+210000</f>
        <v>904074</v>
      </c>
    </row>
    <row r="626" spans="1:10" s="58" customFormat="1" ht="34.5" customHeight="1" x14ac:dyDescent="0.2">
      <c r="A626" s="16"/>
      <c r="B626" s="16"/>
      <c r="C626" s="16"/>
      <c r="D626" s="16"/>
      <c r="E626" s="17"/>
      <c r="F626" s="18" t="s">
        <v>690</v>
      </c>
      <c r="G626" s="34">
        <v>30000000</v>
      </c>
      <c r="H626" s="35">
        <v>97.8</v>
      </c>
      <c r="I626" s="34">
        <v>29343017</v>
      </c>
      <c r="J626" s="46">
        <f>200000+243963+356037+500000-50000-632313+50000-10704</f>
        <v>656983</v>
      </c>
    </row>
    <row r="627" spans="1:10" s="58" customFormat="1" ht="75" x14ac:dyDescent="0.2">
      <c r="A627" s="16"/>
      <c r="B627" s="16"/>
      <c r="C627" s="16"/>
      <c r="D627" s="16"/>
      <c r="E627" s="17"/>
      <c r="F627" s="18" t="s">
        <v>691</v>
      </c>
      <c r="G627" s="34">
        <v>15000000</v>
      </c>
      <c r="H627" s="35">
        <v>99.2</v>
      </c>
      <c r="I627" s="34">
        <v>14877806</v>
      </c>
      <c r="J627" s="46">
        <f>50000+112194-40000</f>
        <v>122194</v>
      </c>
    </row>
    <row r="628" spans="1:10" s="58" customFormat="1" ht="18.75" customHeight="1" x14ac:dyDescent="0.2">
      <c r="A628" s="16"/>
      <c r="B628" s="16"/>
      <c r="C628" s="16"/>
      <c r="D628" s="16"/>
      <c r="E628" s="17"/>
      <c r="F628" s="22" t="s">
        <v>395</v>
      </c>
      <c r="G628" s="34"/>
      <c r="H628" s="35"/>
      <c r="I628" s="34"/>
      <c r="J628" s="46"/>
    </row>
    <row r="629" spans="1:10" s="58" customFormat="1" ht="77.25" customHeight="1" x14ac:dyDescent="0.2">
      <c r="A629" s="16"/>
      <c r="B629" s="16"/>
      <c r="C629" s="16"/>
      <c r="D629" s="16"/>
      <c r="E629" s="17"/>
      <c r="F629" s="18" t="s">
        <v>692</v>
      </c>
      <c r="G629" s="34">
        <v>6553874</v>
      </c>
      <c r="H629" s="35">
        <v>69.999987793479093</v>
      </c>
      <c r="I629" s="34">
        <v>4587711</v>
      </c>
      <c r="J629" s="46">
        <v>1966163</v>
      </c>
    </row>
    <row r="630" spans="1:10" s="58" customFormat="1" ht="21.75" customHeight="1" x14ac:dyDescent="0.2">
      <c r="A630" s="16"/>
      <c r="B630" s="16"/>
      <c r="C630" s="16"/>
      <c r="D630" s="16"/>
      <c r="E630" s="17"/>
      <c r="F630" s="22" t="s">
        <v>232</v>
      </c>
      <c r="G630" s="34"/>
      <c r="H630" s="35"/>
      <c r="I630" s="34"/>
      <c r="J630" s="47">
        <v>1638469</v>
      </c>
    </row>
    <row r="631" spans="1:10" s="58" customFormat="1" ht="15" x14ac:dyDescent="0.2">
      <c r="A631" s="16"/>
      <c r="B631" s="16"/>
      <c r="C631" s="16"/>
      <c r="D631" s="16"/>
      <c r="E631" s="17"/>
      <c r="F631" s="21" t="s">
        <v>693</v>
      </c>
      <c r="G631" s="34"/>
      <c r="H631" s="35"/>
      <c r="I631" s="34"/>
      <c r="J631" s="46"/>
    </row>
    <row r="632" spans="1:10" s="58" customFormat="1" ht="45" x14ac:dyDescent="0.2">
      <c r="A632" s="16"/>
      <c r="B632" s="16"/>
      <c r="C632" s="16"/>
      <c r="D632" s="16"/>
      <c r="E632" s="17"/>
      <c r="F632" s="18" t="s">
        <v>694</v>
      </c>
      <c r="G632" s="34">
        <v>7678722</v>
      </c>
      <c r="H632" s="35">
        <v>56.5</v>
      </c>
      <c r="I632" s="34">
        <v>4339314</v>
      </c>
      <c r="J632" s="46">
        <f>3000000+1681552-2500000</f>
        <v>2181552</v>
      </c>
    </row>
    <row r="633" spans="1:10" s="58" customFormat="1" ht="15" x14ac:dyDescent="0.2">
      <c r="A633" s="16"/>
      <c r="B633" s="16"/>
      <c r="C633" s="16"/>
      <c r="D633" s="16"/>
      <c r="E633" s="17"/>
      <c r="F633" s="18" t="s">
        <v>695</v>
      </c>
      <c r="G633" s="34">
        <v>24322532</v>
      </c>
      <c r="H633" s="35">
        <v>10.6</v>
      </c>
      <c r="I633" s="34">
        <v>2572532</v>
      </c>
      <c r="J633" s="46">
        <f>500000+6000000+5500000-50000+1800000+8000000</f>
        <v>21750000</v>
      </c>
    </row>
    <row r="634" spans="1:10" s="58" customFormat="1" ht="30" x14ac:dyDescent="0.2">
      <c r="A634" s="16"/>
      <c r="B634" s="16"/>
      <c r="C634" s="16"/>
      <c r="D634" s="16"/>
      <c r="E634" s="17"/>
      <c r="F634" s="18" t="s">
        <v>696</v>
      </c>
      <c r="G634" s="34">
        <v>10000000</v>
      </c>
      <c r="H634" s="35">
        <v>99.1</v>
      </c>
      <c r="I634" s="34">
        <v>9914232</v>
      </c>
      <c r="J634" s="46">
        <f>50000+86151-40000-10383</f>
        <v>85768</v>
      </c>
    </row>
    <row r="635" spans="1:10" s="58" customFormat="1" ht="51" customHeight="1" x14ac:dyDescent="0.2">
      <c r="A635" s="16"/>
      <c r="B635" s="16"/>
      <c r="C635" s="16"/>
      <c r="D635" s="16"/>
      <c r="E635" s="17"/>
      <c r="F635" s="17" t="s">
        <v>697</v>
      </c>
      <c r="G635" s="34">
        <v>6339808</v>
      </c>
      <c r="H635" s="35">
        <v>7</v>
      </c>
      <c r="I635" s="34">
        <v>444952</v>
      </c>
      <c r="J635" s="46">
        <f>5500000+394856</f>
        <v>5894856</v>
      </c>
    </row>
    <row r="636" spans="1:10" s="58" customFormat="1" ht="45" x14ac:dyDescent="0.2">
      <c r="A636" s="16"/>
      <c r="B636" s="16"/>
      <c r="C636" s="16"/>
      <c r="D636" s="16"/>
      <c r="E636" s="17"/>
      <c r="F636" s="17" t="s">
        <v>698</v>
      </c>
      <c r="G636" s="34">
        <v>4094186</v>
      </c>
      <c r="H636" s="35">
        <v>3.1</v>
      </c>
      <c r="I636" s="34">
        <v>128688</v>
      </c>
      <c r="J636" s="46">
        <f>2000000+1965498</f>
        <v>3965498</v>
      </c>
    </row>
    <row r="637" spans="1:10" s="58" customFormat="1" ht="47.25" customHeight="1" x14ac:dyDescent="0.2">
      <c r="A637" s="16" t="s">
        <v>699</v>
      </c>
      <c r="B637" s="16" t="s">
        <v>700</v>
      </c>
      <c r="C637" s="16"/>
      <c r="D637" s="16" t="s">
        <v>701</v>
      </c>
      <c r="E637" s="17" t="s">
        <v>702</v>
      </c>
      <c r="F637" s="18"/>
      <c r="G637" s="34"/>
      <c r="H637" s="35"/>
      <c r="I637" s="34"/>
      <c r="J637" s="46">
        <f>J638+J668+J651+J663+J653+J666+J642+J644+J645+J647+J648+J649+J655+J657+J661+J664+J659+J669+J671+J675+J677+J679+J681+J682+J673+J683</f>
        <v>162735508</v>
      </c>
    </row>
    <row r="638" spans="1:10" s="58" customFormat="1" ht="15" x14ac:dyDescent="0.2">
      <c r="A638" s="16"/>
      <c r="B638" s="16"/>
      <c r="C638" s="16"/>
      <c r="D638" s="16"/>
      <c r="E638" s="17"/>
      <c r="F638" s="18" t="s">
        <v>23</v>
      </c>
      <c r="G638" s="34"/>
      <c r="H638" s="35"/>
      <c r="I638" s="34"/>
      <c r="J638" s="46">
        <f>89800000-2623378-54345+19662550+934911-1618469-5491604+4985915+100000+500000+9593082-5400000+30911160+4724192+300000+5877134+2406940-1937768-46018+1369318</f>
        <v>153993620</v>
      </c>
    </row>
    <row r="639" spans="1:10" s="58" customFormat="1" ht="18.75" customHeight="1" x14ac:dyDescent="0.2">
      <c r="A639" s="16"/>
      <c r="B639" s="16"/>
      <c r="C639" s="16"/>
      <c r="D639" s="16"/>
      <c r="E639" s="17"/>
      <c r="F639" s="22" t="s">
        <v>232</v>
      </c>
      <c r="G639" s="34"/>
      <c r="H639" s="35"/>
      <c r="I639" s="34"/>
      <c r="J639" s="47">
        <v>1429122</v>
      </c>
    </row>
    <row r="640" spans="1:10" s="58" customFormat="1" ht="15" x14ac:dyDescent="0.2">
      <c r="A640" s="16"/>
      <c r="B640" s="16"/>
      <c r="C640" s="16"/>
      <c r="D640" s="16"/>
      <c r="E640" s="17"/>
      <c r="F640" s="18" t="s">
        <v>286</v>
      </c>
      <c r="G640" s="34"/>
      <c r="H640" s="35"/>
      <c r="I640" s="34"/>
      <c r="J640" s="46">
        <v>378883</v>
      </c>
    </row>
    <row r="641" spans="1:10" s="58" customFormat="1" ht="15" x14ac:dyDescent="0.2">
      <c r="A641" s="70"/>
      <c r="B641" s="70"/>
      <c r="C641" s="70"/>
      <c r="D641" s="70"/>
      <c r="E641" s="74"/>
      <c r="F641" s="106" t="s">
        <v>299</v>
      </c>
      <c r="G641" s="72"/>
      <c r="H641" s="73"/>
      <c r="I641" s="72"/>
      <c r="J641" s="75"/>
    </row>
    <row r="642" spans="1:10" s="58" customFormat="1" ht="30" x14ac:dyDescent="0.2">
      <c r="A642" s="16"/>
      <c r="B642" s="16"/>
      <c r="C642" s="16"/>
      <c r="D642" s="16"/>
      <c r="E642" s="17"/>
      <c r="F642" s="93" t="s">
        <v>703</v>
      </c>
      <c r="G642" s="34">
        <v>30000000</v>
      </c>
      <c r="H642" s="35">
        <v>99.4</v>
      </c>
      <c r="I642" s="34">
        <v>29810225</v>
      </c>
      <c r="J642" s="46">
        <f>300000-140225+30000</f>
        <v>189775</v>
      </c>
    </row>
    <row r="643" spans="1:10" s="58" customFormat="1" ht="15" x14ac:dyDescent="0.2">
      <c r="A643" s="16"/>
      <c r="B643" s="16"/>
      <c r="C643" s="16"/>
      <c r="D643" s="16"/>
      <c r="E643" s="17"/>
      <c r="F643" s="21" t="s">
        <v>303</v>
      </c>
      <c r="G643" s="34"/>
      <c r="H643" s="35"/>
      <c r="I643" s="34"/>
      <c r="J643" s="46"/>
    </row>
    <row r="644" spans="1:10" s="58" customFormat="1" ht="30" x14ac:dyDescent="0.2">
      <c r="A644" s="16"/>
      <c r="B644" s="16"/>
      <c r="C644" s="16"/>
      <c r="D644" s="16"/>
      <c r="E644" s="17"/>
      <c r="F644" s="93" t="s">
        <v>704</v>
      </c>
      <c r="G644" s="34">
        <v>20000000</v>
      </c>
      <c r="H644" s="35">
        <v>99.4</v>
      </c>
      <c r="I644" s="34">
        <v>19888632</v>
      </c>
      <c r="J644" s="46">
        <f>200000-88632</f>
        <v>111368</v>
      </c>
    </row>
    <row r="645" spans="1:10" s="58" customFormat="1" ht="30" x14ac:dyDescent="0.2">
      <c r="A645" s="16"/>
      <c r="B645" s="16"/>
      <c r="C645" s="16"/>
      <c r="D645" s="16"/>
      <c r="E645" s="17"/>
      <c r="F645" s="93" t="s">
        <v>705</v>
      </c>
      <c r="G645" s="34">
        <v>30000000</v>
      </c>
      <c r="H645" s="35">
        <v>99.4</v>
      </c>
      <c r="I645" s="34">
        <v>29812000</v>
      </c>
      <c r="J645" s="46">
        <f>200000-12000</f>
        <v>188000</v>
      </c>
    </row>
    <row r="646" spans="1:10" s="58" customFormat="1" ht="15" x14ac:dyDescent="0.2">
      <c r="A646" s="16"/>
      <c r="B646" s="16"/>
      <c r="C646" s="16"/>
      <c r="D646" s="16"/>
      <c r="E646" s="17"/>
      <c r="F646" s="21" t="s">
        <v>306</v>
      </c>
      <c r="G646" s="34"/>
      <c r="H646" s="35"/>
      <c r="I646" s="34"/>
      <c r="J646" s="46"/>
    </row>
    <row r="647" spans="1:10" s="58" customFormat="1" ht="50.25" customHeight="1" x14ac:dyDescent="0.2">
      <c r="A647" s="16"/>
      <c r="B647" s="16"/>
      <c r="C647" s="16"/>
      <c r="D647" s="16"/>
      <c r="E647" s="17"/>
      <c r="F647" s="93" t="s">
        <v>706</v>
      </c>
      <c r="G647" s="34">
        <v>20000000</v>
      </c>
      <c r="H647" s="35">
        <v>99</v>
      </c>
      <c r="I647" s="34">
        <v>19800000</v>
      </c>
      <c r="J647" s="46">
        <v>200000</v>
      </c>
    </row>
    <row r="648" spans="1:10" s="58" customFormat="1" ht="51.75" customHeight="1" x14ac:dyDescent="0.2">
      <c r="A648" s="16"/>
      <c r="B648" s="16"/>
      <c r="C648" s="16"/>
      <c r="D648" s="16"/>
      <c r="E648" s="17"/>
      <c r="F648" s="93" t="s">
        <v>707</v>
      </c>
      <c r="G648" s="34">
        <v>20000000</v>
      </c>
      <c r="H648" s="35">
        <v>98.8</v>
      </c>
      <c r="I648" s="34">
        <v>19750000</v>
      </c>
      <c r="J648" s="46">
        <f>200000-30000+80000</f>
        <v>250000</v>
      </c>
    </row>
    <row r="649" spans="1:10" s="58" customFormat="1" ht="39.75" customHeight="1" x14ac:dyDescent="0.2">
      <c r="A649" s="16"/>
      <c r="B649" s="16"/>
      <c r="C649" s="16"/>
      <c r="D649" s="16"/>
      <c r="E649" s="17"/>
      <c r="F649" s="93" t="s">
        <v>708</v>
      </c>
      <c r="G649" s="34">
        <v>20000000</v>
      </c>
      <c r="H649" s="35">
        <v>98.8</v>
      </c>
      <c r="I649" s="34">
        <v>19750000</v>
      </c>
      <c r="J649" s="46">
        <f>200000-50000+100000</f>
        <v>250000</v>
      </c>
    </row>
    <row r="650" spans="1:10" s="58" customFormat="1" ht="15" x14ac:dyDescent="0.2">
      <c r="A650" s="16"/>
      <c r="B650" s="16"/>
      <c r="C650" s="16"/>
      <c r="D650" s="16"/>
      <c r="E650" s="17"/>
      <c r="F650" s="21" t="s">
        <v>311</v>
      </c>
      <c r="G650" s="34"/>
      <c r="H650" s="35"/>
      <c r="I650" s="34"/>
      <c r="J650" s="46"/>
    </row>
    <row r="651" spans="1:10" s="58" customFormat="1" ht="60" x14ac:dyDescent="0.2">
      <c r="A651" s="16"/>
      <c r="B651" s="16"/>
      <c r="C651" s="16"/>
      <c r="D651" s="16"/>
      <c r="E651" s="17"/>
      <c r="F651" s="93" t="s">
        <v>709</v>
      </c>
      <c r="G651" s="34">
        <v>10510088</v>
      </c>
      <c r="H651" s="35">
        <v>99.5</v>
      </c>
      <c r="I651" s="34">
        <v>10460088</v>
      </c>
      <c r="J651" s="46">
        <f>100000+1000000+400000-1450000</f>
        <v>50000</v>
      </c>
    </row>
    <row r="652" spans="1:10" s="58" customFormat="1" ht="15" x14ac:dyDescent="0.2">
      <c r="A652" s="16"/>
      <c r="B652" s="16"/>
      <c r="C652" s="16"/>
      <c r="D652" s="16"/>
      <c r="E652" s="17"/>
      <c r="F652" s="21" t="s">
        <v>344</v>
      </c>
      <c r="G652" s="34"/>
      <c r="H652" s="35"/>
      <c r="I652" s="34"/>
      <c r="J652" s="46"/>
    </row>
    <row r="653" spans="1:10" s="58" customFormat="1" ht="60" x14ac:dyDescent="0.2">
      <c r="A653" s="16"/>
      <c r="B653" s="16"/>
      <c r="C653" s="16"/>
      <c r="D653" s="16"/>
      <c r="E653" s="17"/>
      <c r="F653" s="66" t="s">
        <v>710</v>
      </c>
      <c r="G653" s="34">
        <v>25000000</v>
      </c>
      <c r="H653" s="35">
        <v>98.6</v>
      </c>
      <c r="I653" s="34">
        <v>24650000</v>
      </c>
      <c r="J653" s="46">
        <v>350000</v>
      </c>
    </row>
    <row r="654" spans="1:10" s="58" customFormat="1" ht="15" x14ac:dyDescent="0.2">
      <c r="A654" s="16"/>
      <c r="B654" s="16"/>
      <c r="C654" s="16"/>
      <c r="D654" s="16"/>
      <c r="E654" s="17"/>
      <c r="F654" s="21" t="s">
        <v>348</v>
      </c>
      <c r="G654" s="34"/>
      <c r="H654" s="35"/>
      <c r="I654" s="34"/>
      <c r="J654" s="46"/>
    </row>
    <row r="655" spans="1:10" s="58" customFormat="1" ht="45" x14ac:dyDescent="0.2">
      <c r="A655" s="16"/>
      <c r="B655" s="16"/>
      <c r="C655" s="16"/>
      <c r="D655" s="16"/>
      <c r="E655" s="17"/>
      <c r="F655" s="17" t="s">
        <v>711</v>
      </c>
      <c r="G655" s="34">
        <v>20000000</v>
      </c>
      <c r="H655" s="35">
        <v>99.3</v>
      </c>
      <c r="I655" s="34">
        <v>19850000</v>
      </c>
      <c r="J655" s="46">
        <f>200000-50000</f>
        <v>150000</v>
      </c>
    </row>
    <row r="656" spans="1:10" s="58" customFormat="1" ht="15" x14ac:dyDescent="0.2">
      <c r="A656" s="16"/>
      <c r="B656" s="16"/>
      <c r="C656" s="16"/>
      <c r="D656" s="16"/>
      <c r="E656" s="17"/>
      <c r="F656" s="21" t="s">
        <v>588</v>
      </c>
      <c r="G656" s="34"/>
      <c r="H656" s="35"/>
      <c r="I656" s="34"/>
      <c r="J656" s="46"/>
    </row>
    <row r="657" spans="1:10" s="58" customFormat="1" ht="30" x14ac:dyDescent="0.2">
      <c r="A657" s="16"/>
      <c r="B657" s="16"/>
      <c r="C657" s="16"/>
      <c r="D657" s="16"/>
      <c r="E657" s="17"/>
      <c r="F657" s="17" t="s">
        <v>712</v>
      </c>
      <c r="G657" s="34">
        <v>20000000</v>
      </c>
      <c r="H657" s="35">
        <v>99.1</v>
      </c>
      <c r="I657" s="34">
        <v>19820000</v>
      </c>
      <c r="J657" s="46">
        <f>200000-20000</f>
        <v>180000</v>
      </c>
    </row>
    <row r="658" spans="1:10" s="58" customFormat="1" ht="15" x14ac:dyDescent="0.2">
      <c r="A658" s="16"/>
      <c r="B658" s="16"/>
      <c r="C658" s="16"/>
      <c r="D658" s="16"/>
      <c r="E658" s="17"/>
      <c r="F658" s="21" t="s">
        <v>354</v>
      </c>
      <c r="G658" s="88"/>
      <c r="H658" s="35"/>
      <c r="I658" s="34"/>
      <c r="J658" s="46"/>
    </row>
    <row r="659" spans="1:10" s="58" customFormat="1" ht="30" x14ac:dyDescent="0.2">
      <c r="A659" s="16"/>
      <c r="B659" s="16"/>
      <c r="C659" s="16"/>
      <c r="D659" s="16"/>
      <c r="E659" s="17"/>
      <c r="F659" s="17" t="s">
        <v>713</v>
      </c>
      <c r="G659" s="46">
        <v>300000</v>
      </c>
      <c r="H659" s="35">
        <v>16.7</v>
      </c>
      <c r="I659" s="34">
        <v>50000</v>
      </c>
      <c r="J659" s="46">
        <f>200000+50000</f>
        <v>250000</v>
      </c>
    </row>
    <row r="660" spans="1:10" s="58" customFormat="1" ht="15" x14ac:dyDescent="0.2">
      <c r="A660" s="16"/>
      <c r="B660" s="16"/>
      <c r="C660" s="16"/>
      <c r="D660" s="16"/>
      <c r="E660" s="17"/>
      <c r="F660" s="21" t="s">
        <v>369</v>
      </c>
      <c r="G660" s="34"/>
      <c r="H660" s="35"/>
      <c r="I660" s="34"/>
      <c r="J660" s="46"/>
    </row>
    <row r="661" spans="1:10" s="58" customFormat="1" ht="64.5" customHeight="1" x14ac:dyDescent="0.2">
      <c r="A661" s="16"/>
      <c r="B661" s="16"/>
      <c r="C661" s="16"/>
      <c r="D661" s="16"/>
      <c r="E661" s="17"/>
      <c r="F661" s="17" t="s">
        <v>714</v>
      </c>
      <c r="G661" s="34">
        <v>25000000</v>
      </c>
      <c r="H661" s="35">
        <v>99.5</v>
      </c>
      <c r="I661" s="34">
        <v>24880000</v>
      </c>
      <c r="J661" s="46">
        <f>200000-80000</f>
        <v>120000</v>
      </c>
    </row>
    <row r="662" spans="1:10" s="58" customFormat="1" ht="15" x14ac:dyDescent="0.2">
      <c r="A662" s="16"/>
      <c r="B662" s="16"/>
      <c r="C662" s="16"/>
      <c r="D662" s="16"/>
      <c r="E662" s="21"/>
      <c r="F662" s="21" t="s">
        <v>372</v>
      </c>
      <c r="G662" s="34"/>
      <c r="H662" s="35"/>
      <c r="I662" s="34"/>
      <c r="J662" s="46"/>
    </row>
    <row r="663" spans="1:10" s="58" customFormat="1" ht="37.5" customHeight="1" x14ac:dyDescent="0.2">
      <c r="A663" s="16"/>
      <c r="B663" s="16"/>
      <c r="C663" s="16"/>
      <c r="D663" s="16"/>
      <c r="E663" s="17"/>
      <c r="F663" s="93" t="s">
        <v>715</v>
      </c>
      <c r="G663" s="34">
        <v>25000000</v>
      </c>
      <c r="H663" s="35">
        <v>98.8</v>
      </c>
      <c r="I663" s="34">
        <v>24690000</v>
      </c>
      <c r="J663" s="46">
        <f>500000-150000-40000</f>
        <v>310000</v>
      </c>
    </row>
    <row r="664" spans="1:10" s="58" customFormat="1" ht="45" x14ac:dyDescent="0.2">
      <c r="A664" s="16"/>
      <c r="B664" s="16"/>
      <c r="C664" s="16"/>
      <c r="D664" s="16"/>
      <c r="E664" s="17"/>
      <c r="F664" s="66" t="s">
        <v>716</v>
      </c>
      <c r="G664" s="88">
        <v>12000000</v>
      </c>
      <c r="H664" s="35">
        <v>98.3</v>
      </c>
      <c r="I664" s="34">
        <v>11800000</v>
      </c>
      <c r="J664" s="46">
        <v>200000</v>
      </c>
    </row>
    <row r="665" spans="1:10" s="58" customFormat="1" ht="15" x14ac:dyDescent="0.2">
      <c r="A665" s="16"/>
      <c r="B665" s="16"/>
      <c r="C665" s="16"/>
      <c r="D665" s="16"/>
      <c r="E665" s="17"/>
      <c r="F665" s="21" t="s">
        <v>717</v>
      </c>
      <c r="G665" s="34"/>
      <c r="H665" s="35"/>
      <c r="I665" s="34"/>
      <c r="J665" s="46"/>
    </row>
    <row r="666" spans="1:10" s="58" customFormat="1" ht="40.5" customHeight="1" x14ac:dyDescent="0.2">
      <c r="A666" s="16"/>
      <c r="B666" s="16"/>
      <c r="C666" s="16"/>
      <c r="D666" s="16"/>
      <c r="E666" s="17"/>
      <c r="F666" s="93" t="s">
        <v>718</v>
      </c>
      <c r="G666" s="34">
        <v>10000000</v>
      </c>
      <c r="H666" s="35">
        <v>98</v>
      </c>
      <c r="I666" s="34">
        <v>9800000</v>
      </c>
      <c r="J666" s="46">
        <f>400000-200000</f>
        <v>200000</v>
      </c>
    </row>
    <row r="667" spans="1:10" s="58" customFormat="1" ht="15" x14ac:dyDescent="0.2">
      <c r="A667" s="16"/>
      <c r="B667" s="16"/>
      <c r="C667" s="16"/>
      <c r="D667" s="16"/>
      <c r="E667" s="17"/>
      <c r="F667" s="21" t="s">
        <v>317</v>
      </c>
      <c r="G667" s="34"/>
      <c r="H667" s="35"/>
      <c r="I667" s="34"/>
      <c r="J667" s="46"/>
    </row>
    <row r="668" spans="1:10" s="58" customFormat="1" ht="69.75" customHeight="1" x14ac:dyDescent="0.2">
      <c r="A668" s="16"/>
      <c r="B668" s="16"/>
      <c r="C668" s="16"/>
      <c r="D668" s="16"/>
      <c r="E668" s="17"/>
      <c r="F668" s="17" t="s">
        <v>719</v>
      </c>
      <c r="G668" s="34">
        <v>2283228</v>
      </c>
      <c r="H668" s="35"/>
      <c r="I668" s="34"/>
      <c r="J668" s="46">
        <f>250000+815992+1217236</f>
        <v>2283228</v>
      </c>
    </row>
    <row r="669" spans="1:10" s="58" customFormat="1" ht="60" x14ac:dyDescent="0.2">
      <c r="A669" s="16"/>
      <c r="B669" s="16"/>
      <c r="C669" s="16"/>
      <c r="D669" s="16"/>
      <c r="E669" s="17"/>
      <c r="F669" s="17" t="s">
        <v>720</v>
      </c>
      <c r="G669" s="46">
        <v>300000</v>
      </c>
      <c r="H669" s="35">
        <v>33.299999999999997</v>
      </c>
      <c r="I669" s="34">
        <v>100000</v>
      </c>
      <c r="J669" s="46">
        <v>200000</v>
      </c>
    </row>
    <row r="670" spans="1:10" s="58" customFormat="1" ht="15" x14ac:dyDescent="0.2">
      <c r="A670" s="16"/>
      <c r="B670" s="16"/>
      <c r="C670" s="16"/>
      <c r="D670" s="16"/>
      <c r="E670" s="17"/>
      <c r="F670" s="21" t="s">
        <v>319</v>
      </c>
      <c r="G670" s="46"/>
      <c r="H670" s="35"/>
      <c r="I670" s="34"/>
      <c r="J670" s="46"/>
    </row>
    <row r="671" spans="1:10" s="58" customFormat="1" ht="30" x14ac:dyDescent="0.2">
      <c r="A671" s="16"/>
      <c r="B671" s="16"/>
      <c r="C671" s="16"/>
      <c r="D671" s="16"/>
      <c r="E671" s="17"/>
      <c r="F671" s="17" t="s">
        <v>721</v>
      </c>
      <c r="G671" s="46">
        <v>20000000</v>
      </c>
      <c r="H671" s="35">
        <v>98.4</v>
      </c>
      <c r="I671" s="34">
        <v>19680000</v>
      </c>
      <c r="J671" s="46">
        <f>200000+120000</f>
        <v>320000</v>
      </c>
    </row>
    <row r="672" spans="1:10" s="58" customFormat="1" ht="15" x14ac:dyDescent="0.2">
      <c r="A672" s="16"/>
      <c r="B672" s="16"/>
      <c r="C672" s="16"/>
      <c r="D672" s="16"/>
      <c r="E672" s="17"/>
      <c r="F672" s="21" t="s">
        <v>321</v>
      </c>
      <c r="G672" s="34"/>
      <c r="H672" s="35"/>
      <c r="I672" s="34"/>
      <c r="J672" s="46"/>
    </row>
    <row r="673" spans="1:10" s="58" customFormat="1" ht="45.75" customHeight="1" x14ac:dyDescent="0.2">
      <c r="A673" s="16"/>
      <c r="B673" s="16"/>
      <c r="C673" s="16"/>
      <c r="D673" s="16"/>
      <c r="E673" s="17"/>
      <c r="F673" s="17" t="s">
        <v>722</v>
      </c>
      <c r="G673" s="34">
        <v>30000000</v>
      </c>
      <c r="H673" s="35">
        <v>97.1</v>
      </c>
      <c r="I673" s="34">
        <v>29138430</v>
      </c>
      <c r="J673" s="46">
        <f>300000+561570</f>
        <v>861570</v>
      </c>
    </row>
    <row r="674" spans="1:10" s="58" customFormat="1" ht="15" x14ac:dyDescent="0.2">
      <c r="A674" s="16"/>
      <c r="B674" s="16"/>
      <c r="C674" s="16"/>
      <c r="D674" s="16"/>
      <c r="E674" s="17"/>
      <c r="F674" s="21" t="s">
        <v>658</v>
      </c>
      <c r="G674" s="34"/>
      <c r="H674" s="35"/>
      <c r="I674" s="34"/>
      <c r="J674" s="46"/>
    </row>
    <row r="675" spans="1:10" s="58" customFormat="1" ht="30" x14ac:dyDescent="0.2">
      <c r="A675" s="16"/>
      <c r="B675" s="16"/>
      <c r="C675" s="16"/>
      <c r="D675" s="16"/>
      <c r="E675" s="17"/>
      <c r="F675" s="93" t="s">
        <v>723</v>
      </c>
      <c r="G675" s="34">
        <v>25000000</v>
      </c>
      <c r="H675" s="35">
        <v>99.5</v>
      </c>
      <c r="I675" s="34">
        <v>24883000</v>
      </c>
      <c r="J675" s="46">
        <f>200000-83000</f>
        <v>117000</v>
      </c>
    </row>
    <row r="676" spans="1:10" s="58" customFormat="1" ht="15" x14ac:dyDescent="0.2">
      <c r="A676" s="16"/>
      <c r="B676" s="16"/>
      <c r="C676" s="16"/>
      <c r="D676" s="16"/>
      <c r="E676" s="17"/>
      <c r="F676" s="21" t="s">
        <v>724</v>
      </c>
      <c r="G676" s="34"/>
      <c r="H676" s="35"/>
      <c r="I676" s="34"/>
      <c r="J676" s="46"/>
    </row>
    <row r="677" spans="1:10" s="58" customFormat="1" ht="45" x14ac:dyDescent="0.2">
      <c r="A677" s="16"/>
      <c r="B677" s="16"/>
      <c r="C677" s="16"/>
      <c r="D677" s="16"/>
      <c r="E677" s="17"/>
      <c r="F677" s="93" t="s">
        <v>725</v>
      </c>
      <c r="G677" s="34">
        <v>20000000</v>
      </c>
      <c r="H677" s="35">
        <v>98.9</v>
      </c>
      <c r="I677" s="34">
        <v>19789053</v>
      </c>
      <c r="J677" s="46">
        <f>200000+10947</f>
        <v>210947</v>
      </c>
    </row>
    <row r="678" spans="1:10" s="58" customFormat="1" ht="15" x14ac:dyDescent="0.2">
      <c r="A678" s="16"/>
      <c r="B678" s="16"/>
      <c r="C678" s="16"/>
      <c r="D678" s="16"/>
      <c r="E678" s="17"/>
      <c r="F678" s="21" t="s">
        <v>393</v>
      </c>
      <c r="G678" s="34"/>
      <c r="H678" s="35"/>
      <c r="I678" s="34"/>
      <c r="J678" s="46"/>
    </row>
    <row r="679" spans="1:10" s="58" customFormat="1" ht="60" x14ac:dyDescent="0.2">
      <c r="A679" s="16"/>
      <c r="B679" s="16"/>
      <c r="C679" s="16"/>
      <c r="D679" s="16"/>
      <c r="E679" s="17"/>
      <c r="F679" s="66" t="s">
        <v>726</v>
      </c>
      <c r="G679" s="34">
        <v>35000000</v>
      </c>
      <c r="H679" s="35">
        <v>99.428571428571431</v>
      </c>
      <c r="I679" s="34">
        <v>34800000</v>
      </c>
      <c r="J679" s="46">
        <v>200000</v>
      </c>
    </row>
    <row r="680" spans="1:10" s="58" customFormat="1" ht="15" x14ac:dyDescent="0.2">
      <c r="A680" s="16"/>
      <c r="B680" s="16"/>
      <c r="C680" s="16"/>
      <c r="D680" s="16"/>
      <c r="E680" s="17"/>
      <c r="F680" s="21" t="s">
        <v>395</v>
      </c>
      <c r="G680" s="34"/>
      <c r="H680" s="35"/>
      <c r="I680" s="34"/>
      <c r="J680" s="46"/>
    </row>
    <row r="681" spans="1:10" s="58" customFormat="1" ht="60" x14ac:dyDescent="0.2">
      <c r="A681" s="16"/>
      <c r="B681" s="16"/>
      <c r="C681" s="16"/>
      <c r="D681" s="16"/>
      <c r="E681" s="17"/>
      <c r="F681" s="93" t="s">
        <v>727</v>
      </c>
      <c r="G681" s="34">
        <v>20000000</v>
      </c>
      <c r="H681" s="35">
        <v>99.3</v>
      </c>
      <c r="I681" s="34">
        <v>19850000</v>
      </c>
      <c r="J681" s="46">
        <f>200000-50000</f>
        <v>150000</v>
      </c>
    </row>
    <row r="682" spans="1:10" s="58" customFormat="1" ht="30" x14ac:dyDescent="0.2">
      <c r="A682" s="16"/>
      <c r="B682" s="16"/>
      <c r="C682" s="16"/>
      <c r="D682" s="16"/>
      <c r="E682" s="17"/>
      <c r="F682" s="93" t="s">
        <v>728</v>
      </c>
      <c r="G682" s="34">
        <v>15000000</v>
      </c>
      <c r="H682" s="35">
        <v>98.666666666666671</v>
      </c>
      <c r="I682" s="34">
        <v>14800000</v>
      </c>
      <c r="J682" s="46">
        <v>200000</v>
      </c>
    </row>
    <row r="683" spans="1:10" s="58" customFormat="1" ht="45" x14ac:dyDescent="0.2">
      <c r="A683" s="16"/>
      <c r="B683" s="16"/>
      <c r="C683" s="16"/>
      <c r="D683" s="16"/>
      <c r="E683" s="17"/>
      <c r="F683" s="93" t="s">
        <v>729</v>
      </c>
      <c r="G683" s="34">
        <v>25000000</v>
      </c>
      <c r="H683" s="35">
        <v>95.2</v>
      </c>
      <c r="I683" s="34">
        <v>23800000</v>
      </c>
      <c r="J683" s="46">
        <f>400000+800000</f>
        <v>1200000</v>
      </c>
    </row>
    <row r="684" spans="1:10" s="58" customFormat="1" ht="41.25" customHeight="1" x14ac:dyDescent="0.2">
      <c r="A684" s="16" t="s">
        <v>730</v>
      </c>
      <c r="B684" s="16" t="s">
        <v>731</v>
      </c>
      <c r="C684" s="16"/>
      <c r="D684" s="16" t="s">
        <v>125</v>
      </c>
      <c r="E684" s="17" t="s">
        <v>732</v>
      </c>
      <c r="F684" s="18"/>
      <c r="G684" s="34"/>
      <c r="H684" s="35"/>
      <c r="I684" s="34"/>
      <c r="J684" s="46">
        <f>J685+J688</f>
        <v>29326850</v>
      </c>
    </row>
    <row r="685" spans="1:10" s="58" customFormat="1" ht="15" x14ac:dyDescent="0.2">
      <c r="A685" s="16"/>
      <c r="B685" s="16"/>
      <c r="C685" s="16"/>
      <c r="D685" s="16"/>
      <c r="E685" s="17"/>
      <c r="F685" s="18" t="s">
        <v>23</v>
      </c>
      <c r="G685" s="34"/>
      <c r="H685" s="35"/>
      <c r="I685" s="34"/>
      <c r="J685" s="46">
        <f>113834+19462500+1860000-1107896+11000000-1632547+200000+1840000+1957052-8250526+4038671-936500-900000</f>
        <v>27644588</v>
      </c>
    </row>
    <row r="686" spans="1:10" s="58" customFormat="1" ht="22.5" customHeight="1" x14ac:dyDescent="0.2">
      <c r="A686" s="16"/>
      <c r="B686" s="16"/>
      <c r="C686" s="16"/>
      <c r="D686" s="16"/>
      <c r="E686" s="17"/>
      <c r="F686" s="22" t="s">
        <v>232</v>
      </c>
      <c r="G686" s="34"/>
      <c r="H686" s="35"/>
      <c r="I686" s="34"/>
      <c r="J686" s="47">
        <v>4107520</v>
      </c>
    </row>
    <row r="687" spans="1:10" s="58" customFormat="1" ht="15" x14ac:dyDescent="0.25">
      <c r="A687" s="16"/>
      <c r="B687" s="16"/>
      <c r="C687" s="16"/>
      <c r="D687" s="16"/>
      <c r="E687" s="17"/>
      <c r="F687" s="21" t="s">
        <v>352</v>
      </c>
      <c r="G687" s="34"/>
      <c r="H687" s="35"/>
      <c r="I687" s="94"/>
      <c r="J687" s="46"/>
    </row>
    <row r="688" spans="1:10" s="58" customFormat="1" ht="46.5" customHeight="1" x14ac:dyDescent="0.2">
      <c r="A688" s="16"/>
      <c r="B688" s="16"/>
      <c r="C688" s="16"/>
      <c r="D688" s="16"/>
      <c r="E688" s="17"/>
      <c r="F688" s="66" t="s">
        <v>733</v>
      </c>
      <c r="G688" s="34">
        <v>2005945</v>
      </c>
      <c r="H688" s="35">
        <v>16.100000000000001</v>
      </c>
      <c r="I688" s="34">
        <v>323683</v>
      </c>
      <c r="J688" s="46">
        <f>1772329-90067</f>
        <v>1682262</v>
      </c>
    </row>
    <row r="689" spans="1:12" s="58" customFormat="1" ht="30" x14ac:dyDescent="0.2">
      <c r="A689" s="16" t="s">
        <v>734</v>
      </c>
      <c r="B689" s="16" t="s">
        <v>735</v>
      </c>
      <c r="C689" s="16"/>
      <c r="D689" s="16" t="s">
        <v>129</v>
      </c>
      <c r="E689" s="17" t="s">
        <v>736</v>
      </c>
      <c r="F689" s="18"/>
      <c r="G689" s="34"/>
      <c r="H689" s="35"/>
      <c r="I689" s="34"/>
      <c r="J689" s="46">
        <f>J691+J695+J703+J696+J698+J697+J707+J705+J700</f>
        <v>20204445</v>
      </c>
      <c r="K689" s="46"/>
      <c r="L689" s="112"/>
    </row>
    <row r="690" spans="1:12" s="58" customFormat="1" ht="15" x14ac:dyDescent="0.2">
      <c r="A690" s="16"/>
      <c r="B690" s="16"/>
      <c r="C690" s="16"/>
      <c r="D690" s="16"/>
      <c r="E690" s="17" t="s">
        <v>43</v>
      </c>
      <c r="F690" s="18"/>
      <c r="G690" s="34"/>
      <c r="H690" s="35"/>
      <c r="I690" s="34"/>
      <c r="J690" s="46"/>
    </row>
    <row r="691" spans="1:12" s="58" customFormat="1" ht="15" x14ac:dyDescent="0.2">
      <c r="A691" s="16"/>
      <c r="B691" s="16"/>
      <c r="C691" s="16"/>
      <c r="D691" s="16"/>
      <c r="E691" s="17"/>
      <c r="F691" s="18" t="s">
        <v>23</v>
      </c>
      <c r="G691" s="34"/>
      <c r="H691" s="35"/>
      <c r="I691" s="34"/>
      <c r="J691" s="46">
        <f>5993500+1329412+263995-3901287-1792213-91501+370000+80000-182737-300000+9100211-1162357+250000</f>
        <v>9957023</v>
      </c>
    </row>
    <row r="692" spans="1:12" s="58" customFormat="1" ht="19.5" customHeight="1" x14ac:dyDescent="0.2">
      <c r="A692" s="16"/>
      <c r="B692" s="16"/>
      <c r="C692" s="16"/>
      <c r="D692" s="16"/>
      <c r="E692" s="17"/>
      <c r="F692" s="22" t="s">
        <v>232</v>
      </c>
      <c r="G692" s="34"/>
      <c r="H692" s="35"/>
      <c r="I692" s="34"/>
      <c r="J692" s="47">
        <v>7657381</v>
      </c>
    </row>
    <row r="693" spans="1:12" s="58" customFormat="1" ht="15.75" customHeight="1" x14ac:dyDescent="0.2">
      <c r="A693" s="16"/>
      <c r="B693" s="16"/>
      <c r="C693" s="16"/>
      <c r="D693" s="16"/>
      <c r="E693" s="17"/>
      <c r="F693" s="18" t="s">
        <v>286</v>
      </c>
      <c r="G693" s="34"/>
      <c r="H693" s="35"/>
      <c r="I693" s="34"/>
      <c r="J693" s="46">
        <v>102127</v>
      </c>
    </row>
    <row r="694" spans="1:12" s="58" customFormat="1" ht="15" x14ac:dyDescent="0.2">
      <c r="A694" s="16"/>
      <c r="B694" s="16"/>
      <c r="C694" s="16"/>
      <c r="D694" s="16"/>
      <c r="E694" s="17"/>
      <c r="F694" s="21" t="s">
        <v>299</v>
      </c>
      <c r="G694" s="34"/>
      <c r="H694" s="35"/>
      <c r="I694" s="34"/>
      <c r="J694" s="46"/>
    </row>
    <row r="695" spans="1:12" s="58" customFormat="1" ht="75" x14ac:dyDescent="0.2">
      <c r="A695" s="16"/>
      <c r="B695" s="16"/>
      <c r="C695" s="16"/>
      <c r="D695" s="16"/>
      <c r="E695" s="17"/>
      <c r="F695" s="18" t="s">
        <v>737</v>
      </c>
      <c r="G695" s="34">
        <v>8815865</v>
      </c>
      <c r="H695" s="35">
        <v>43.6</v>
      </c>
      <c r="I695" s="34">
        <v>3847841</v>
      </c>
      <c r="J695" s="46">
        <f>5246300+1792213+611725-1000000-2100000</f>
        <v>4550238</v>
      </c>
    </row>
    <row r="696" spans="1:12" s="58" customFormat="1" ht="40.5" customHeight="1" x14ac:dyDescent="0.2">
      <c r="A696" s="16"/>
      <c r="B696" s="16"/>
      <c r="C696" s="16"/>
      <c r="D696" s="16"/>
      <c r="E696" s="17"/>
      <c r="F696" s="18" t="s">
        <v>738</v>
      </c>
      <c r="G696" s="34">
        <v>9574185</v>
      </c>
      <c r="H696" s="35">
        <v>96</v>
      </c>
      <c r="I696" s="34">
        <v>9191604</v>
      </c>
      <c r="J696" s="46">
        <f>251483-10000+50000</f>
        <v>291483</v>
      </c>
    </row>
    <row r="697" spans="1:12" s="58" customFormat="1" ht="48.75" customHeight="1" x14ac:dyDescent="0.2">
      <c r="A697" s="16"/>
      <c r="B697" s="16"/>
      <c r="C697" s="16"/>
      <c r="D697" s="16"/>
      <c r="E697" s="17"/>
      <c r="F697" s="66" t="s">
        <v>739</v>
      </c>
      <c r="G697" s="34">
        <v>48000000</v>
      </c>
      <c r="H697" s="35">
        <v>98.8</v>
      </c>
      <c r="I697" s="34">
        <v>47400000</v>
      </c>
      <c r="J697" s="46">
        <f>100000+400000+720000-500000+480000-600000</f>
        <v>600000</v>
      </c>
    </row>
    <row r="698" spans="1:12" s="58" customFormat="1" ht="33.75" customHeight="1" x14ac:dyDescent="0.2">
      <c r="A698" s="16"/>
      <c r="B698" s="16"/>
      <c r="C698" s="16"/>
      <c r="D698" s="16"/>
      <c r="E698" s="17"/>
      <c r="F698" s="17" t="s">
        <v>740</v>
      </c>
      <c r="G698" s="34">
        <v>180000000</v>
      </c>
      <c r="H698" s="35">
        <v>99.9</v>
      </c>
      <c r="I698" s="34">
        <v>179794274</v>
      </c>
      <c r="J698" s="46">
        <v>205726</v>
      </c>
    </row>
    <row r="699" spans="1:12" s="58" customFormat="1" ht="21.75" customHeight="1" x14ac:dyDescent="0.2">
      <c r="A699" s="16"/>
      <c r="B699" s="16"/>
      <c r="C699" s="16"/>
      <c r="D699" s="16"/>
      <c r="E699" s="17"/>
      <c r="F699" s="17" t="s">
        <v>522</v>
      </c>
      <c r="G699" s="90"/>
      <c r="H699" s="107"/>
      <c r="I699" s="90"/>
      <c r="J699" s="46"/>
    </row>
    <row r="700" spans="1:12" s="58" customFormat="1" ht="71.25" customHeight="1" x14ac:dyDescent="0.2">
      <c r="A700" s="16"/>
      <c r="B700" s="16"/>
      <c r="C700" s="16"/>
      <c r="D700" s="16"/>
      <c r="E700" s="17"/>
      <c r="F700" s="66" t="s">
        <v>741</v>
      </c>
      <c r="G700" s="34">
        <v>2394550</v>
      </c>
      <c r="H700" s="35">
        <v>70</v>
      </c>
      <c r="I700" s="34">
        <v>1676185</v>
      </c>
      <c r="J700" s="46">
        <v>718365</v>
      </c>
    </row>
    <row r="701" spans="1:12" s="58" customFormat="1" ht="25.5" customHeight="1" x14ac:dyDescent="0.2">
      <c r="A701" s="16"/>
      <c r="B701" s="16"/>
      <c r="C701" s="16"/>
      <c r="D701" s="16"/>
      <c r="E701" s="17"/>
      <c r="F701" s="22" t="s">
        <v>232</v>
      </c>
      <c r="G701" s="34"/>
      <c r="H701" s="35"/>
      <c r="I701" s="34"/>
      <c r="J701" s="47">
        <v>598637</v>
      </c>
    </row>
    <row r="702" spans="1:12" s="58" customFormat="1" ht="15" x14ac:dyDescent="0.2">
      <c r="A702" s="16"/>
      <c r="B702" s="16"/>
      <c r="C702" s="16"/>
      <c r="D702" s="16"/>
      <c r="E702" s="17"/>
      <c r="F702" s="21" t="s">
        <v>301</v>
      </c>
      <c r="G702" s="34"/>
      <c r="H702" s="35"/>
      <c r="I702" s="34"/>
      <c r="J702" s="46"/>
    </row>
    <row r="703" spans="1:12" s="58" customFormat="1" ht="55.5" customHeight="1" x14ac:dyDescent="0.2">
      <c r="A703" s="16"/>
      <c r="B703" s="16"/>
      <c r="C703" s="16"/>
      <c r="D703" s="16"/>
      <c r="E703" s="17"/>
      <c r="F703" s="18" t="s">
        <v>742</v>
      </c>
      <c r="G703" s="34">
        <v>1989690</v>
      </c>
      <c r="H703" s="35">
        <v>23.6</v>
      </c>
      <c r="I703" s="34">
        <v>428933</v>
      </c>
      <c r="J703" s="46">
        <f>281610+40000-40000</f>
        <v>281610</v>
      </c>
    </row>
    <row r="704" spans="1:12" s="58" customFormat="1" ht="15" x14ac:dyDescent="0.2">
      <c r="A704" s="16"/>
      <c r="B704" s="16"/>
      <c r="C704" s="16"/>
      <c r="D704" s="16"/>
      <c r="E704" s="17"/>
      <c r="F704" s="21" t="s">
        <v>354</v>
      </c>
      <c r="G704" s="34"/>
      <c r="H704" s="35"/>
      <c r="I704" s="34"/>
      <c r="J704" s="46"/>
    </row>
    <row r="705" spans="1:10" s="58" customFormat="1" ht="55.5" customHeight="1" x14ac:dyDescent="0.2">
      <c r="A705" s="16"/>
      <c r="B705" s="16"/>
      <c r="C705" s="16"/>
      <c r="D705" s="16"/>
      <c r="E705" s="17"/>
      <c r="F705" s="18" t="s">
        <v>743</v>
      </c>
      <c r="G705" s="34">
        <v>131157206</v>
      </c>
      <c r="H705" s="35">
        <v>97.3</v>
      </c>
      <c r="I705" s="34">
        <v>127657206</v>
      </c>
      <c r="J705" s="46">
        <f>500000+10000000-6000000-1000000</f>
        <v>3500000</v>
      </c>
    </row>
    <row r="706" spans="1:10" s="58" customFormat="1" ht="15" x14ac:dyDescent="0.2">
      <c r="A706" s="16"/>
      <c r="B706" s="16"/>
      <c r="C706" s="16"/>
      <c r="D706" s="16"/>
      <c r="E706" s="17"/>
      <c r="F706" s="21" t="s">
        <v>395</v>
      </c>
      <c r="G706" s="34"/>
      <c r="H706" s="35"/>
      <c r="I706" s="34"/>
      <c r="J706" s="46"/>
    </row>
    <row r="707" spans="1:10" s="58" customFormat="1" ht="88.5" customHeight="1" x14ac:dyDescent="0.2">
      <c r="A707" s="16"/>
      <c r="B707" s="16"/>
      <c r="C707" s="16"/>
      <c r="D707" s="16"/>
      <c r="E707" s="17"/>
      <c r="F707" s="66" t="s">
        <v>744</v>
      </c>
      <c r="G707" s="34">
        <v>100000</v>
      </c>
      <c r="H707" s="35"/>
      <c r="I707" s="34"/>
      <c r="J707" s="46">
        <f>100000</f>
        <v>100000</v>
      </c>
    </row>
    <row r="708" spans="1:10" s="58" customFormat="1" ht="15" x14ac:dyDescent="0.2">
      <c r="A708" s="16" t="s">
        <v>745</v>
      </c>
      <c r="B708" s="16" t="s">
        <v>39</v>
      </c>
      <c r="C708" s="16"/>
      <c r="D708" s="16" t="s">
        <v>41</v>
      </c>
      <c r="E708" s="17" t="s">
        <v>746</v>
      </c>
      <c r="F708" s="18"/>
      <c r="G708" s="34"/>
      <c r="H708" s="35"/>
      <c r="I708" s="34"/>
      <c r="J708" s="46">
        <f>J709</f>
        <v>36402224</v>
      </c>
    </row>
    <row r="709" spans="1:10" s="58" customFormat="1" ht="45" x14ac:dyDescent="0.2">
      <c r="A709" s="16"/>
      <c r="B709" s="16"/>
      <c r="C709" s="16"/>
      <c r="D709" s="16"/>
      <c r="E709" s="17" t="s">
        <v>747</v>
      </c>
      <c r="F709" s="18" t="s">
        <v>23</v>
      </c>
      <c r="G709" s="34"/>
      <c r="H709" s="35"/>
      <c r="I709" s="34"/>
      <c r="J709" s="46">
        <f>11000000+2699900+560000+1437200+663606+2040000+2136827-10500000-400000+9964691+2500000+14300000</f>
        <v>36402224</v>
      </c>
    </row>
    <row r="710" spans="1:10" s="57" customFormat="1" ht="36.75" customHeight="1" x14ac:dyDescent="0.2">
      <c r="A710" s="23" t="s">
        <v>748</v>
      </c>
      <c r="B710" s="23"/>
      <c r="C710" s="23"/>
      <c r="D710" s="23"/>
      <c r="E710" s="24" t="s">
        <v>749</v>
      </c>
      <c r="F710" s="25"/>
      <c r="G710" s="36"/>
      <c r="H710" s="37"/>
      <c r="I710" s="36"/>
      <c r="J710" s="45">
        <f>J712</f>
        <v>300000</v>
      </c>
    </row>
    <row r="711" spans="1:10" s="57" customFormat="1" ht="35.25" customHeight="1" x14ac:dyDescent="0.2">
      <c r="A711" s="23" t="s">
        <v>750</v>
      </c>
      <c r="B711" s="23"/>
      <c r="C711" s="23"/>
      <c r="D711" s="23"/>
      <c r="E711" s="24" t="s">
        <v>749</v>
      </c>
      <c r="F711" s="25"/>
      <c r="G711" s="36"/>
      <c r="H711" s="37"/>
      <c r="I711" s="36"/>
      <c r="J711" s="45">
        <f>J712</f>
        <v>300000</v>
      </c>
    </row>
    <row r="712" spans="1:10" s="58" customFormat="1" ht="23.25" customHeight="1" x14ac:dyDescent="0.2">
      <c r="A712" s="16" t="s">
        <v>751</v>
      </c>
      <c r="B712" s="16" t="s">
        <v>752</v>
      </c>
      <c r="C712" s="16"/>
      <c r="D712" s="16" t="s">
        <v>753</v>
      </c>
      <c r="E712" s="17" t="s">
        <v>754</v>
      </c>
      <c r="F712" s="18" t="s">
        <v>23</v>
      </c>
      <c r="G712" s="34"/>
      <c r="H712" s="35"/>
      <c r="I712" s="34"/>
      <c r="J712" s="46">
        <v>300000</v>
      </c>
    </row>
    <row r="713" spans="1:10" s="57" customFormat="1" ht="28.5" x14ac:dyDescent="0.2">
      <c r="A713" s="23" t="s">
        <v>755</v>
      </c>
      <c r="B713" s="23"/>
      <c r="C713" s="23"/>
      <c r="D713" s="23"/>
      <c r="E713" s="24" t="s">
        <v>756</v>
      </c>
      <c r="F713" s="25"/>
      <c r="G713" s="36"/>
      <c r="H713" s="37"/>
      <c r="I713" s="36"/>
      <c r="J713" s="45">
        <f>J714</f>
        <v>6500000</v>
      </c>
    </row>
    <row r="714" spans="1:10" s="57" customFormat="1" ht="28.5" x14ac:dyDescent="0.2">
      <c r="A714" s="23" t="s">
        <v>757</v>
      </c>
      <c r="B714" s="23"/>
      <c r="C714" s="23"/>
      <c r="D714" s="23"/>
      <c r="E714" s="24" t="s">
        <v>756</v>
      </c>
      <c r="F714" s="25"/>
      <c r="G714" s="36"/>
      <c r="H714" s="37"/>
      <c r="I714" s="36"/>
      <c r="J714" s="45">
        <f>J715+J718</f>
        <v>6500000</v>
      </c>
    </row>
    <row r="715" spans="1:10" s="58" customFormat="1" ht="30" x14ac:dyDescent="0.2">
      <c r="A715" s="16" t="s">
        <v>758</v>
      </c>
      <c r="B715" s="16" t="s">
        <v>759</v>
      </c>
      <c r="C715" s="16"/>
      <c r="D715" s="16"/>
      <c r="E715" s="17" t="s">
        <v>760</v>
      </c>
      <c r="F715" s="18" t="s">
        <v>23</v>
      </c>
      <c r="G715" s="34"/>
      <c r="H715" s="35"/>
      <c r="I715" s="34"/>
      <c r="J715" s="46">
        <v>4000000</v>
      </c>
    </row>
    <row r="716" spans="1:10" s="58" customFormat="1" ht="15" x14ac:dyDescent="0.2">
      <c r="A716" s="16" t="s">
        <v>761</v>
      </c>
      <c r="B716" s="16" t="s">
        <v>39</v>
      </c>
      <c r="C716" s="16" t="s">
        <v>40</v>
      </c>
      <c r="D716" s="16" t="s">
        <v>41</v>
      </c>
      <c r="E716" s="17" t="s">
        <v>746</v>
      </c>
      <c r="F716" s="18"/>
      <c r="G716" s="34"/>
      <c r="H716" s="35"/>
      <c r="I716" s="34"/>
      <c r="J716" s="46">
        <f>J718</f>
        <v>2500000</v>
      </c>
    </row>
    <row r="717" spans="1:10" s="58" customFormat="1" ht="15" x14ac:dyDescent="0.2">
      <c r="A717" s="16"/>
      <c r="B717" s="16"/>
      <c r="C717" s="16"/>
      <c r="D717" s="16"/>
      <c r="E717" s="17" t="s">
        <v>43</v>
      </c>
      <c r="F717" s="18"/>
      <c r="G717" s="34"/>
      <c r="H717" s="35"/>
      <c r="I717" s="34"/>
      <c r="J717" s="46"/>
    </row>
    <row r="718" spans="1:10" s="58" customFormat="1" ht="60" x14ac:dyDescent="0.2">
      <c r="A718" s="16"/>
      <c r="B718" s="16"/>
      <c r="C718" s="16"/>
      <c r="D718" s="16"/>
      <c r="E718" s="17" t="s">
        <v>762</v>
      </c>
      <c r="F718" s="18" t="s">
        <v>23</v>
      </c>
      <c r="G718" s="34"/>
      <c r="H718" s="35"/>
      <c r="I718" s="34"/>
      <c r="J718" s="46">
        <v>2500000</v>
      </c>
    </row>
    <row r="719" spans="1:10" s="58" customFormat="1" ht="33" customHeight="1" x14ac:dyDescent="0.2">
      <c r="A719" s="23" t="s">
        <v>763</v>
      </c>
      <c r="B719" s="16"/>
      <c r="C719" s="16"/>
      <c r="D719" s="16"/>
      <c r="E719" s="24" t="s">
        <v>764</v>
      </c>
      <c r="F719" s="18"/>
      <c r="G719" s="34"/>
      <c r="H719" s="35"/>
      <c r="I719" s="34"/>
      <c r="J719" s="45">
        <f>J721</f>
        <v>5000000</v>
      </c>
    </row>
    <row r="720" spans="1:10" s="58" customFormat="1" ht="35.25" customHeight="1" x14ac:dyDescent="0.2">
      <c r="A720" s="23" t="s">
        <v>765</v>
      </c>
      <c r="B720" s="16"/>
      <c r="C720" s="16"/>
      <c r="D720" s="16"/>
      <c r="E720" s="24" t="s">
        <v>764</v>
      </c>
      <c r="F720" s="18"/>
      <c r="G720" s="34"/>
      <c r="H720" s="35"/>
      <c r="I720" s="34"/>
      <c r="J720" s="45">
        <f>J721</f>
        <v>5000000</v>
      </c>
    </row>
    <row r="721" spans="1:10" s="58" customFormat="1" ht="45" x14ac:dyDescent="0.2">
      <c r="A721" s="16" t="s">
        <v>766</v>
      </c>
      <c r="B721" s="16" t="s">
        <v>767</v>
      </c>
      <c r="C721" s="16"/>
      <c r="D721" s="16" t="s">
        <v>41</v>
      </c>
      <c r="E721" s="17" t="s">
        <v>768</v>
      </c>
      <c r="F721" s="18"/>
      <c r="G721" s="34"/>
      <c r="H721" s="35"/>
      <c r="I721" s="34"/>
      <c r="J721" s="46">
        <v>5000000</v>
      </c>
    </row>
    <row r="722" spans="1:10" s="60" customFormat="1" ht="15" x14ac:dyDescent="0.2">
      <c r="A722" s="20"/>
      <c r="B722" s="20"/>
      <c r="C722" s="20"/>
      <c r="D722" s="20"/>
      <c r="E722" s="22" t="s">
        <v>232</v>
      </c>
      <c r="F722" s="22"/>
      <c r="G722" s="38"/>
      <c r="H722" s="39"/>
      <c r="I722" s="38"/>
      <c r="J722" s="47">
        <v>5000000</v>
      </c>
    </row>
    <row r="723" spans="1:10" s="58" customFormat="1" ht="42.75" x14ac:dyDescent="0.2">
      <c r="A723" s="23" t="s">
        <v>769</v>
      </c>
      <c r="B723" s="23"/>
      <c r="C723" s="23" t="s">
        <v>770</v>
      </c>
      <c r="D723" s="16"/>
      <c r="E723" s="24" t="s">
        <v>771</v>
      </c>
      <c r="F723" s="18"/>
      <c r="G723" s="34"/>
      <c r="H723" s="35"/>
      <c r="I723" s="34"/>
      <c r="J723" s="45">
        <f>J724</f>
        <v>2075000</v>
      </c>
    </row>
    <row r="724" spans="1:10" s="58" customFormat="1" ht="42.75" x14ac:dyDescent="0.2">
      <c r="A724" s="23" t="s">
        <v>772</v>
      </c>
      <c r="B724" s="23"/>
      <c r="C724" s="23" t="s">
        <v>770</v>
      </c>
      <c r="D724" s="16"/>
      <c r="E724" s="24" t="s">
        <v>771</v>
      </c>
      <c r="F724" s="18"/>
      <c r="G724" s="34"/>
      <c r="H724" s="35"/>
      <c r="I724" s="34"/>
      <c r="J724" s="45">
        <f>J725</f>
        <v>2075000</v>
      </c>
    </row>
    <row r="725" spans="1:10" s="58" customFormat="1" ht="15" x14ac:dyDescent="0.2">
      <c r="A725" s="16" t="s">
        <v>773</v>
      </c>
      <c r="B725" s="16" t="s">
        <v>774</v>
      </c>
      <c r="C725" s="16"/>
      <c r="D725" s="16"/>
      <c r="E725" s="17" t="s">
        <v>775</v>
      </c>
      <c r="F725" s="18"/>
      <c r="G725" s="34"/>
      <c r="H725" s="35"/>
      <c r="I725" s="34"/>
      <c r="J725" s="46">
        <f>J726</f>
        <v>2075000</v>
      </c>
    </row>
    <row r="726" spans="1:10" s="58" customFormat="1" ht="15" x14ac:dyDescent="0.2">
      <c r="A726" s="16" t="s">
        <v>776</v>
      </c>
      <c r="B726" s="16">
        <v>6662</v>
      </c>
      <c r="C726" s="16" t="s">
        <v>777</v>
      </c>
      <c r="D726" s="16" t="s">
        <v>778</v>
      </c>
      <c r="E726" s="17" t="s">
        <v>779</v>
      </c>
      <c r="F726" s="18" t="s">
        <v>23</v>
      </c>
      <c r="G726" s="34"/>
      <c r="H726" s="35"/>
      <c r="I726" s="34"/>
      <c r="J726" s="46">
        <f>200000+1000000+875000</f>
        <v>2075000</v>
      </c>
    </row>
    <row r="727" spans="1:10" s="58" customFormat="1" ht="28.5" x14ac:dyDescent="0.2">
      <c r="A727" s="23" t="s">
        <v>780</v>
      </c>
      <c r="B727" s="23"/>
      <c r="C727" s="23"/>
      <c r="D727" s="16"/>
      <c r="E727" s="24" t="s">
        <v>781</v>
      </c>
      <c r="F727" s="18"/>
      <c r="G727" s="34"/>
      <c r="H727" s="35"/>
      <c r="I727" s="34"/>
      <c r="J727" s="45">
        <f>J728</f>
        <v>17500000</v>
      </c>
    </row>
    <row r="728" spans="1:10" s="58" customFormat="1" ht="28.5" x14ac:dyDescent="0.2">
      <c r="A728" s="23" t="s">
        <v>782</v>
      </c>
      <c r="B728" s="23"/>
      <c r="C728" s="23"/>
      <c r="D728" s="16"/>
      <c r="E728" s="24" t="s">
        <v>781</v>
      </c>
      <c r="F728" s="18"/>
      <c r="G728" s="34"/>
      <c r="H728" s="35"/>
      <c r="I728" s="34"/>
      <c r="J728" s="45">
        <f>J729</f>
        <v>17500000</v>
      </c>
    </row>
    <row r="729" spans="1:10" s="58" customFormat="1" ht="45" x14ac:dyDescent="0.2">
      <c r="A729" s="16" t="s">
        <v>783</v>
      </c>
      <c r="B729" s="16" t="s">
        <v>767</v>
      </c>
      <c r="C729" s="16"/>
      <c r="D729" s="16" t="s">
        <v>41</v>
      </c>
      <c r="E729" s="17" t="s">
        <v>784</v>
      </c>
      <c r="F729" s="18" t="s">
        <v>23</v>
      </c>
      <c r="G729" s="34"/>
      <c r="H729" s="35"/>
      <c r="I729" s="34"/>
      <c r="J729" s="46">
        <f>4500000+13000000</f>
        <v>17500000</v>
      </c>
    </row>
    <row r="730" spans="1:10" s="58" customFormat="1" ht="32.25" customHeight="1" x14ac:dyDescent="0.2">
      <c r="A730" s="23" t="s">
        <v>785</v>
      </c>
      <c r="B730" s="23"/>
      <c r="C730" s="23" t="s">
        <v>786</v>
      </c>
      <c r="D730" s="16"/>
      <c r="E730" s="24" t="s">
        <v>787</v>
      </c>
      <c r="F730" s="18"/>
      <c r="G730" s="34"/>
      <c r="H730" s="35"/>
      <c r="I730" s="34"/>
      <c r="J730" s="45">
        <f>J731</f>
        <v>5414000</v>
      </c>
    </row>
    <row r="731" spans="1:10" s="58" customFormat="1" ht="35.25" customHeight="1" x14ac:dyDescent="0.2">
      <c r="A731" s="23" t="s">
        <v>788</v>
      </c>
      <c r="B731" s="23"/>
      <c r="C731" s="23" t="s">
        <v>786</v>
      </c>
      <c r="D731" s="16"/>
      <c r="E731" s="24" t="s">
        <v>787</v>
      </c>
      <c r="F731" s="18"/>
      <c r="G731" s="34"/>
      <c r="H731" s="35"/>
      <c r="I731" s="34"/>
      <c r="J731" s="45">
        <f>J732+J733</f>
        <v>5414000</v>
      </c>
    </row>
    <row r="732" spans="1:10" s="58" customFormat="1" ht="30" x14ac:dyDescent="0.2">
      <c r="A732" s="16" t="s">
        <v>789</v>
      </c>
      <c r="B732" s="16" t="s">
        <v>790</v>
      </c>
      <c r="C732" s="16">
        <v>210105</v>
      </c>
      <c r="D732" s="16" t="s">
        <v>791</v>
      </c>
      <c r="E732" s="17" t="s">
        <v>792</v>
      </c>
      <c r="F732" s="18" t="s">
        <v>23</v>
      </c>
      <c r="G732" s="34"/>
      <c r="H732" s="35"/>
      <c r="I732" s="34"/>
      <c r="J732" s="46">
        <f>500000+1572400+20000+31000+587600+800000+3000-500000</f>
        <v>3014000</v>
      </c>
    </row>
    <row r="733" spans="1:10" s="58" customFormat="1" ht="45" x14ac:dyDescent="0.2">
      <c r="A733" s="16" t="s">
        <v>793</v>
      </c>
      <c r="B733" s="16" t="s">
        <v>767</v>
      </c>
      <c r="C733" s="16"/>
      <c r="D733" s="16" t="s">
        <v>41</v>
      </c>
      <c r="E733" s="17" t="s">
        <v>784</v>
      </c>
      <c r="F733" s="18" t="s">
        <v>23</v>
      </c>
      <c r="G733" s="34"/>
      <c r="H733" s="35"/>
      <c r="I733" s="34"/>
      <c r="J733" s="46">
        <f>1500000+900000</f>
        <v>2400000</v>
      </c>
    </row>
    <row r="734" spans="1:10" s="58" customFormat="1" ht="28.5" x14ac:dyDescent="0.2">
      <c r="A734" s="23" t="s">
        <v>794</v>
      </c>
      <c r="B734" s="23"/>
      <c r="C734" s="23" t="s">
        <v>795</v>
      </c>
      <c r="D734" s="16"/>
      <c r="E734" s="24" t="s">
        <v>796</v>
      </c>
      <c r="F734" s="18"/>
      <c r="G734" s="34"/>
      <c r="H734" s="35"/>
      <c r="I734" s="34"/>
      <c r="J734" s="45">
        <f>J735</f>
        <v>10673100</v>
      </c>
    </row>
    <row r="735" spans="1:10" s="84" customFormat="1" ht="28.5" x14ac:dyDescent="0.2">
      <c r="A735" s="81" t="s">
        <v>797</v>
      </c>
      <c r="B735" s="81"/>
      <c r="C735" s="81" t="s">
        <v>795</v>
      </c>
      <c r="D735" s="70"/>
      <c r="E735" s="82" t="s">
        <v>796</v>
      </c>
      <c r="F735" s="71"/>
      <c r="G735" s="72"/>
      <c r="H735" s="73"/>
      <c r="I735" s="72"/>
      <c r="J735" s="83">
        <f>J736+J737</f>
        <v>10673100</v>
      </c>
    </row>
    <row r="736" spans="1:10" ht="45" x14ac:dyDescent="0.2">
      <c r="A736" s="70" t="s">
        <v>798</v>
      </c>
      <c r="B736" s="70">
        <v>8370</v>
      </c>
      <c r="C736" s="70" t="s">
        <v>799</v>
      </c>
      <c r="D736" s="70" t="s">
        <v>41</v>
      </c>
      <c r="E736" s="74" t="s">
        <v>784</v>
      </c>
      <c r="F736" s="71" t="s">
        <v>23</v>
      </c>
      <c r="G736" s="72"/>
      <c r="H736" s="73"/>
      <c r="I736" s="72"/>
      <c r="J736" s="75">
        <f>4000000-1015900-111000-200000</f>
        <v>2673100</v>
      </c>
    </row>
    <row r="737" spans="1:11" ht="45" x14ac:dyDescent="0.2">
      <c r="A737" s="70" t="s">
        <v>800</v>
      </c>
      <c r="B737" s="85" t="s">
        <v>801</v>
      </c>
      <c r="C737" s="85"/>
      <c r="D737" s="85" t="s">
        <v>41</v>
      </c>
      <c r="E737" s="74" t="s">
        <v>802</v>
      </c>
      <c r="F737" s="71" t="s">
        <v>23</v>
      </c>
      <c r="G737" s="86"/>
      <c r="H737" s="87"/>
      <c r="I737" s="86"/>
      <c r="J737" s="88">
        <v>8000000</v>
      </c>
    </row>
    <row r="738" spans="1:11" ht="15" x14ac:dyDescent="0.2">
      <c r="A738" s="50"/>
      <c r="B738" s="50"/>
      <c r="C738" s="50"/>
      <c r="D738" s="50"/>
      <c r="E738" s="48" t="s">
        <v>803</v>
      </c>
      <c r="F738" s="49"/>
      <c r="G738" s="51"/>
      <c r="H738" s="52"/>
      <c r="I738" s="51"/>
      <c r="J738" s="53">
        <f>J734+J730+J727+J723+J719+J713+J710+J326+J323+J133+J130+J114+J110+J102+J81+J45+J18+J8</f>
        <v>3179661328.5700002</v>
      </c>
      <c r="K738" s="54"/>
    </row>
    <row r="739" spans="1:11" ht="71.25" customHeight="1" x14ac:dyDescent="0.2">
      <c r="H739" s="3"/>
      <c r="I739" s="3"/>
    </row>
    <row r="740" spans="1:11" ht="20.25" x14ac:dyDescent="0.3">
      <c r="D740" s="6" t="s">
        <v>804</v>
      </c>
      <c r="E740" s="6"/>
      <c r="F740" s="6"/>
      <c r="G740" s="44"/>
      <c r="H740" s="9" t="s">
        <v>805</v>
      </c>
      <c r="I740" s="8"/>
      <c r="J740" s="40"/>
    </row>
    <row r="741" spans="1:11" ht="12.75" x14ac:dyDescent="0.2"/>
    <row r="742" spans="1:11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</row>
    <row r="743" spans="1:11" ht="12.75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</row>
    <row r="744" spans="1:11" ht="12.75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</row>
    <row r="745" spans="1:11" ht="12.75" x14ac:dyDescent="0.2"/>
    <row r="746" spans="1:11" ht="12.75" x14ac:dyDescent="0.2"/>
    <row r="747" spans="1:11" ht="12.75" x14ac:dyDescent="0.2"/>
    <row r="748" spans="1:11" ht="12.75" x14ac:dyDescent="0.2"/>
    <row r="749" spans="1:11" ht="12.75" x14ac:dyDescent="0.2"/>
    <row r="750" spans="1:11" ht="12.75" x14ac:dyDescent="0.2"/>
    <row r="751" spans="1:11" ht="12.75" x14ac:dyDescent="0.2"/>
    <row r="752" spans="1:11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</sheetData>
  <mergeCells count="10">
    <mergeCell ref="H740:I740"/>
    <mergeCell ref="A742:J742"/>
    <mergeCell ref="D740:F740"/>
    <mergeCell ref="K1:M1"/>
    <mergeCell ref="H3:J3"/>
    <mergeCell ref="H2:J2"/>
    <mergeCell ref="H739:I739"/>
    <mergeCell ref="A5:J5"/>
    <mergeCell ref="I4:J4"/>
    <mergeCell ref="H1:J1"/>
  </mergeCells>
  <phoneticPr fontId="16" type="noConversion"/>
  <printOptions horizontalCentered="1"/>
  <pageMargins left="0.39370078740157483" right="0.39370078740157483" top="0.78740157480314965" bottom="1.1811023622047245" header="0.27559055118110237" footer="0.19685039370078741"/>
  <pageSetup paperSize="9" scale="61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</cp:lastModifiedBy>
  <cp:revision/>
  <dcterms:created xsi:type="dcterms:W3CDTF">2014-01-17T10:52:16Z</dcterms:created>
  <dcterms:modified xsi:type="dcterms:W3CDTF">2024-04-01T07:09:21Z</dcterms:modified>
</cp:coreProperties>
</file>