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Дод 4" sheetId="5" r:id="rId1"/>
  </sheets>
  <definedNames>
    <definedName name="_xlnm.Print_Titles" localSheetId="0">'Дод 4'!$A:$B,'Дод 4'!$6:$12</definedName>
    <definedName name="_xlnm.Print_Area" localSheetId="0">'Дод 4'!$A$1:$BS$114</definedName>
  </definedNames>
  <calcPr calcId="144525" fullCalcOnLoad="1"/>
</workbook>
</file>

<file path=xl/calcChain.xml><?xml version="1.0" encoding="utf-8"?>
<calcChain xmlns="http://schemas.openxmlformats.org/spreadsheetml/2006/main">
  <c r="K36" i="5" l="1"/>
  <c r="K49" i="5"/>
  <c r="J36" i="5"/>
  <c r="BG26" i="5"/>
  <c r="BG112" i="5" s="1"/>
  <c r="BG49" i="5"/>
  <c r="BG107" i="5"/>
  <c r="BF33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J30" i="5"/>
  <c r="V30" i="5"/>
  <c r="S30" i="5"/>
  <c r="AA30" i="5"/>
  <c r="AD30" i="5"/>
  <c r="AR30" i="5"/>
  <c r="BD30" i="5"/>
  <c r="G29" i="5"/>
  <c r="G28" i="5"/>
  <c r="G27" i="5"/>
  <c r="G25" i="5"/>
  <c r="G24" i="5"/>
  <c r="G22" i="5"/>
  <c r="G21" i="5"/>
  <c r="J21" i="5"/>
  <c r="BD21" i="5" s="1"/>
  <c r="V21" i="5"/>
  <c r="S21" i="5"/>
  <c r="AA21" i="5"/>
  <c r="AD21" i="5"/>
  <c r="G20" i="5"/>
  <c r="G19" i="5"/>
  <c r="G18" i="5"/>
  <c r="G17" i="5"/>
  <c r="G16" i="5"/>
  <c r="G15" i="5"/>
  <c r="G14" i="5"/>
  <c r="G13" i="5"/>
  <c r="G26" i="5"/>
  <c r="BO14" i="5"/>
  <c r="BQ107" i="5"/>
  <c r="BQ49" i="5"/>
  <c r="BQ26" i="5"/>
  <c r="BQ112" i="5" s="1"/>
  <c r="AB110" i="5"/>
  <c r="AC107" i="5"/>
  <c r="AB107" i="5"/>
  <c r="AA107" i="5" s="1"/>
  <c r="AC49" i="5"/>
  <c r="AB46" i="5"/>
  <c r="AB42" i="5"/>
  <c r="AB37" i="5"/>
  <c r="AA37" i="5"/>
  <c r="AB34" i="5"/>
  <c r="AA34" i="5"/>
  <c r="AB28" i="5"/>
  <c r="AB35" i="5"/>
  <c r="AA35" i="5" s="1"/>
  <c r="AC26" i="5"/>
  <c r="AB26" i="5"/>
  <c r="AA26" i="5"/>
  <c r="AA14" i="5"/>
  <c r="AA15" i="5"/>
  <c r="AA16" i="5"/>
  <c r="AA17" i="5"/>
  <c r="AA18" i="5"/>
  <c r="AA19" i="5"/>
  <c r="AA20" i="5"/>
  <c r="AA22" i="5"/>
  <c r="AA23" i="5"/>
  <c r="AA24" i="5"/>
  <c r="AA25" i="5"/>
  <c r="AA27" i="5"/>
  <c r="AA29" i="5"/>
  <c r="AA31" i="5"/>
  <c r="AA32" i="5"/>
  <c r="AA33" i="5"/>
  <c r="AA36" i="5"/>
  <c r="AA38" i="5"/>
  <c r="AA39" i="5"/>
  <c r="AA40" i="5"/>
  <c r="AA41" i="5"/>
  <c r="AA42" i="5"/>
  <c r="AA43" i="5"/>
  <c r="AA44" i="5"/>
  <c r="AA45" i="5"/>
  <c r="AA46" i="5"/>
  <c r="AA47" i="5"/>
  <c r="AA48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8" i="5"/>
  <c r="AA109" i="5"/>
  <c r="AA111" i="5"/>
  <c r="AA13" i="5"/>
  <c r="AF107" i="5"/>
  <c r="AF112" i="5" s="1"/>
  <c r="AF49" i="5"/>
  <c r="AF26" i="5"/>
  <c r="AG107" i="5"/>
  <c r="AG112" i="5" s="1"/>
  <c r="AG49" i="5"/>
  <c r="AG26" i="5"/>
  <c r="AE107" i="5"/>
  <c r="AE49" i="5"/>
  <c r="AE26" i="5"/>
  <c r="S109" i="5"/>
  <c r="AD109" i="5"/>
  <c r="BD109" i="5" s="1"/>
  <c r="AD14" i="5"/>
  <c r="AD15" i="5"/>
  <c r="AD16" i="5"/>
  <c r="AD17" i="5"/>
  <c r="AD18" i="5"/>
  <c r="AD19" i="5"/>
  <c r="AD20" i="5"/>
  <c r="AD22" i="5"/>
  <c r="AD23" i="5"/>
  <c r="AD24" i="5"/>
  <c r="AD25" i="5"/>
  <c r="AD27" i="5"/>
  <c r="AD28" i="5"/>
  <c r="AD29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8" i="5"/>
  <c r="AD111" i="5"/>
  <c r="AD13" i="5"/>
  <c r="BS33" i="5"/>
  <c r="AP111" i="5"/>
  <c r="AI111" i="5"/>
  <c r="H45" i="5"/>
  <c r="H34" i="5"/>
  <c r="H29" i="5"/>
  <c r="H27" i="5"/>
  <c r="H22" i="5"/>
  <c r="H18" i="5"/>
  <c r="BH105" i="5"/>
  <c r="BH88" i="5"/>
  <c r="BS88" i="5" s="1"/>
  <c r="BH15" i="5"/>
  <c r="BI15" i="5"/>
  <c r="BK42" i="5"/>
  <c r="BS42" i="5" s="1"/>
  <c r="S86" i="5"/>
  <c r="BI36" i="5"/>
  <c r="U100" i="5"/>
  <c r="U94" i="5"/>
  <c r="S94" i="5"/>
  <c r="U85" i="5"/>
  <c r="S85" i="5"/>
  <c r="U47" i="5"/>
  <c r="V47" i="5"/>
  <c r="S47" i="5" s="1"/>
  <c r="U46" i="5"/>
  <c r="U42" i="5"/>
  <c r="S105" i="5"/>
  <c r="BD105" i="5" s="1"/>
  <c r="S101" i="5"/>
  <c r="S102" i="5"/>
  <c r="S103" i="5"/>
  <c r="S104" i="5"/>
  <c r="BS101" i="5"/>
  <c r="BS102" i="5"/>
  <c r="BS103" i="5"/>
  <c r="BS104" i="5"/>
  <c r="BS106" i="5"/>
  <c r="BS108" i="5"/>
  <c r="D107" i="5"/>
  <c r="E107" i="5"/>
  <c r="F107" i="5"/>
  <c r="F26" i="5"/>
  <c r="F49" i="5"/>
  <c r="F112" i="5" s="1"/>
  <c r="G107" i="5"/>
  <c r="H107" i="5"/>
  <c r="I107" i="5"/>
  <c r="K107" i="5"/>
  <c r="L107" i="5"/>
  <c r="L26" i="5"/>
  <c r="L49" i="5"/>
  <c r="L112" i="5" s="1"/>
  <c r="M107" i="5"/>
  <c r="N107" i="5"/>
  <c r="Q107" i="5"/>
  <c r="R107" i="5"/>
  <c r="R112" i="5"/>
  <c r="S88" i="5"/>
  <c r="S89" i="5"/>
  <c r="S90" i="5"/>
  <c r="S91" i="5"/>
  <c r="S92" i="5"/>
  <c r="S93" i="5"/>
  <c r="S95" i="5"/>
  <c r="S96" i="5"/>
  <c r="S97" i="5"/>
  <c r="S98" i="5"/>
  <c r="S99" i="5"/>
  <c r="S106" i="5"/>
  <c r="X107" i="5"/>
  <c r="Y107" i="5"/>
  <c r="AH107" i="5"/>
  <c r="AI107" i="5"/>
  <c r="AJ107" i="5"/>
  <c r="AJ112" i="5"/>
  <c r="AK107" i="5"/>
  <c r="AK112" i="5"/>
  <c r="AL107" i="5"/>
  <c r="AM107" i="5"/>
  <c r="AN107" i="5"/>
  <c r="AO107" i="5"/>
  <c r="AP107" i="5"/>
  <c r="AQ107" i="5"/>
  <c r="AS107" i="5"/>
  <c r="AT107" i="5"/>
  <c r="AU107" i="5"/>
  <c r="AV107" i="5"/>
  <c r="AW107" i="5"/>
  <c r="AX107" i="5"/>
  <c r="AY107" i="5"/>
  <c r="AZ107" i="5"/>
  <c r="BA107" i="5"/>
  <c r="BB107" i="5"/>
  <c r="BC107" i="5"/>
  <c r="BE107" i="5"/>
  <c r="BF107" i="5"/>
  <c r="BI107" i="5"/>
  <c r="BJ107" i="5"/>
  <c r="BL107" i="5"/>
  <c r="BM107" i="5"/>
  <c r="BN107" i="5"/>
  <c r="BO107" i="5"/>
  <c r="BP107" i="5"/>
  <c r="BR107" i="5"/>
  <c r="BS78" i="5"/>
  <c r="BS79" i="5"/>
  <c r="BS81" i="5"/>
  <c r="BS82" i="5"/>
  <c r="BS84" i="5"/>
  <c r="BS86" i="5"/>
  <c r="BS87" i="5"/>
  <c r="BS90" i="5"/>
  <c r="BS91" i="5"/>
  <c r="BS92" i="5"/>
  <c r="BS94" i="5"/>
  <c r="BS97" i="5"/>
  <c r="BS99" i="5"/>
  <c r="BS100" i="5"/>
  <c r="C107" i="5"/>
  <c r="V84" i="5"/>
  <c r="V83" i="5"/>
  <c r="V82" i="5"/>
  <c r="V81" i="5"/>
  <c r="S81" i="5" s="1"/>
  <c r="BD81" i="5" s="1"/>
  <c r="V80" i="5"/>
  <c r="S80" i="5" s="1"/>
  <c r="BD80" i="5" s="1"/>
  <c r="V79" i="5"/>
  <c r="S79" i="5" s="1"/>
  <c r="BD79" i="5" s="1"/>
  <c r="V78" i="5"/>
  <c r="S78" i="5" s="1"/>
  <c r="BD78" i="5" s="1"/>
  <c r="V77" i="5"/>
  <c r="S77" i="5"/>
  <c r="V76" i="5"/>
  <c r="V75" i="5"/>
  <c r="V74" i="5"/>
  <c r="S74" i="5"/>
  <c r="V73" i="5"/>
  <c r="V72" i="5"/>
  <c r="V71" i="5"/>
  <c r="V70" i="5"/>
  <c r="V69" i="5"/>
  <c r="U69" i="5"/>
  <c r="S69" i="5" s="1"/>
  <c r="BD69" i="5" s="1"/>
  <c r="V68" i="5"/>
  <c r="S68" i="5" s="1"/>
  <c r="BD68" i="5" s="1"/>
  <c r="V67" i="5"/>
  <c r="S67" i="5" s="1"/>
  <c r="BD67" i="5" s="1"/>
  <c r="V66" i="5"/>
  <c r="V65" i="5"/>
  <c r="V64" i="5"/>
  <c r="S64" i="5" s="1"/>
  <c r="BD64" i="5" s="1"/>
  <c r="V63" i="5"/>
  <c r="V62" i="5"/>
  <c r="S62" i="5"/>
  <c r="V61" i="5"/>
  <c r="V60" i="5"/>
  <c r="S60" i="5" s="1"/>
  <c r="J60" i="5"/>
  <c r="V59" i="5"/>
  <c r="S59" i="5" s="1"/>
  <c r="BD59" i="5" s="1"/>
  <c r="V58" i="5"/>
  <c r="V57" i="5"/>
  <c r="V56" i="5"/>
  <c r="S56" i="5" s="1"/>
  <c r="V55" i="5"/>
  <c r="V54" i="5"/>
  <c r="V53" i="5"/>
  <c r="V52" i="5"/>
  <c r="V51" i="5"/>
  <c r="S51" i="5" s="1"/>
  <c r="BD51" i="5" s="1"/>
  <c r="V48" i="5"/>
  <c r="V49" i="5" s="1"/>
  <c r="V112" i="5" s="1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29" i="5"/>
  <c r="V28" i="5"/>
  <c r="S44" i="5"/>
  <c r="S42" i="5"/>
  <c r="V25" i="5"/>
  <c r="V24" i="5"/>
  <c r="V23" i="5"/>
  <c r="V22" i="5"/>
  <c r="V20" i="5"/>
  <c r="V19" i="5"/>
  <c r="V18" i="5"/>
  <c r="V17" i="5"/>
  <c r="V16" i="5"/>
  <c r="V15" i="5"/>
  <c r="V14" i="5"/>
  <c r="V13" i="5"/>
  <c r="S13" i="5"/>
  <c r="BS16" i="5"/>
  <c r="BS20" i="5"/>
  <c r="BS21" i="5"/>
  <c r="BS22" i="5"/>
  <c r="BS23" i="5"/>
  <c r="BS25" i="5"/>
  <c r="BS27" i="5"/>
  <c r="BS28" i="5"/>
  <c r="BS29" i="5"/>
  <c r="BS31" i="5"/>
  <c r="BS32" i="5"/>
  <c r="BS34" i="5"/>
  <c r="BS37" i="5"/>
  <c r="BS38" i="5"/>
  <c r="BS39" i="5"/>
  <c r="BS40" i="5"/>
  <c r="BS43" i="5"/>
  <c r="BS44" i="5"/>
  <c r="BS46" i="5"/>
  <c r="BS50" i="5"/>
  <c r="BS51" i="5"/>
  <c r="BS53" i="5"/>
  <c r="BS54" i="5"/>
  <c r="BS55" i="5"/>
  <c r="BS57" i="5"/>
  <c r="BS59" i="5"/>
  <c r="BS60" i="5"/>
  <c r="BS61" i="5"/>
  <c r="BS62" i="5"/>
  <c r="BS63" i="5"/>
  <c r="BS64" i="5"/>
  <c r="BS65" i="5"/>
  <c r="BS66" i="5"/>
  <c r="BS67" i="5"/>
  <c r="BS69" i="5"/>
  <c r="BS70" i="5"/>
  <c r="BS72" i="5"/>
  <c r="BS73" i="5"/>
  <c r="BS74" i="5"/>
  <c r="BS75" i="5"/>
  <c r="BS76" i="5"/>
  <c r="BS77" i="5"/>
  <c r="BS109" i="5"/>
  <c r="BS110" i="5"/>
  <c r="BS111" i="5"/>
  <c r="BS13" i="5"/>
  <c r="BR49" i="5"/>
  <c r="BR26" i="5"/>
  <c r="BI24" i="5"/>
  <c r="BP24" i="5"/>
  <c r="BK98" i="5"/>
  <c r="BS98" i="5"/>
  <c r="BK85" i="5"/>
  <c r="BK83" i="5"/>
  <c r="BS83" i="5" s="1"/>
  <c r="BK47" i="5"/>
  <c r="BS47" i="5" s="1"/>
  <c r="BK41" i="5"/>
  <c r="BS41" i="5" s="1"/>
  <c r="BK36" i="5"/>
  <c r="BS36" i="5" s="1"/>
  <c r="BK35" i="5"/>
  <c r="BS35" i="5" s="1"/>
  <c r="BK19" i="5"/>
  <c r="BS19" i="5" s="1"/>
  <c r="BN49" i="5"/>
  <c r="BN26" i="5"/>
  <c r="AL111" i="5"/>
  <c r="C111" i="5"/>
  <c r="J111" i="5"/>
  <c r="S111" i="5"/>
  <c r="AM111" i="5"/>
  <c r="AN111" i="5"/>
  <c r="BC17" i="5"/>
  <c r="BC26" i="5" s="1"/>
  <c r="BC112" i="5" s="1"/>
  <c r="BC49" i="5"/>
  <c r="AL26" i="5"/>
  <c r="AL49" i="5"/>
  <c r="C26" i="5"/>
  <c r="C49" i="5"/>
  <c r="C112" i="5"/>
  <c r="D49" i="5"/>
  <c r="D112" i="5"/>
  <c r="E26" i="5"/>
  <c r="E49" i="5"/>
  <c r="E112" i="5" s="1"/>
  <c r="I26" i="5"/>
  <c r="I49" i="5"/>
  <c r="J13" i="5"/>
  <c r="J14" i="5"/>
  <c r="J15" i="5"/>
  <c r="J16" i="5"/>
  <c r="J17" i="5"/>
  <c r="J18" i="5"/>
  <c r="J19" i="5"/>
  <c r="J20" i="5"/>
  <c r="J22" i="5"/>
  <c r="J23" i="5"/>
  <c r="J24" i="5"/>
  <c r="J25" i="5"/>
  <c r="J26" i="5"/>
  <c r="J48" i="5"/>
  <c r="J47" i="5"/>
  <c r="J46" i="5"/>
  <c r="J45" i="5"/>
  <c r="J44" i="5"/>
  <c r="J43" i="5"/>
  <c r="J42" i="5"/>
  <c r="J41" i="5"/>
  <c r="J40" i="5"/>
  <c r="J39" i="5"/>
  <c r="J38" i="5"/>
  <c r="J37" i="5"/>
  <c r="J35" i="5"/>
  <c r="J34" i="5"/>
  <c r="J33" i="5"/>
  <c r="J32" i="5"/>
  <c r="J31" i="5"/>
  <c r="J29" i="5"/>
  <c r="J28" i="5"/>
  <c r="J27" i="5"/>
  <c r="J110" i="5"/>
  <c r="J51" i="5"/>
  <c r="J52" i="5"/>
  <c r="J53" i="5"/>
  <c r="J107" i="5" s="1"/>
  <c r="J112" i="5" s="1"/>
  <c r="J54" i="5"/>
  <c r="J56" i="5"/>
  <c r="J57" i="5"/>
  <c r="J58" i="5"/>
  <c r="J59" i="5"/>
  <c r="J61" i="5"/>
  <c r="J62" i="5"/>
  <c r="J63" i="5"/>
  <c r="J64" i="5"/>
  <c r="J67" i="5"/>
  <c r="J68" i="5"/>
  <c r="J69" i="5"/>
  <c r="J71" i="5"/>
  <c r="J74" i="5"/>
  <c r="J77" i="5"/>
  <c r="J79" i="5"/>
  <c r="J80" i="5"/>
  <c r="J81" i="5"/>
  <c r="J82" i="5"/>
  <c r="J83" i="5"/>
  <c r="J84" i="5"/>
  <c r="J85" i="5"/>
  <c r="BD85" i="5" s="1"/>
  <c r="J87" i="5"/>
  <c r="J88" i="5"/>
  <c r="J89" i="5"/>
  <c r="J90" i="5"/>
  <c r="J91" i="5"/>
  <c r="J92" i="5"/>
  <c r="J93" i="5"/>
  <c r="J94" i="5"/>
  <c r="J95" i="5"/>
  <c r="J96" i="5"/>
  <c r="J98" i="5"/>
  <c r="J99" i="5"/>
  <c r="J100" i="5"/>
  <c r="J101" i="5"/>
  <c r="J104" i="5"/>
  <c r="J106" i="5"/>
  <c r="BD62" i="5"/>
  <c r="AR91" i="5"/>
  <c r="BD91" i="5" s="1"/>
  <c r="K26" i="5"/>
  <c r="M26" i="5"/>
  <c r="M49" i="5"/>
  <c r="N26" i="5"/>
  <c r="N49" i="5"/>
  <c r="O26" i="5"/>
  <c r="O49" i="5"/>
  <c r="O69" i="5"/>
  <c r="O76" i="5"/>
  <c r="O77" i="5"/>
  <c r="O75" i="5"/>
  <c r="O107" i="5" s="1"/>
  <c r="O112" i="5" s="1"/>
  <c r="O87" i="5"/>
  <c r="O93" i="5"/>
  <c r="P26" i="5"/>
  <c r="P48" i="5"/>
  <c r="P46" i="5"/>
  <c r="P37" i="5"/>
  <c r="P34" i="5"/>
  <c r="P32" i="5"/>
  <c r="P52" i="5"/>
  <c r="P71" i="5"/>
  <c r="P77" i="5"/>
  <c r="P87" i="5"/>
  <c r="P102" i="5"/>
  <c r="Q26" i="5"/>
  <c r="Q49" i="5"/>
  <c r="Q112" i="5" s="1"/>
  <c r="T15" i="5"/>
  <c r="T26" i="5" s="1"/>
  <c r="T49" i="5"/>
  <c r="T57" i="5"/>
  <c r="T87" i="5"/>
  <c r="S87" i="5" s="1"/>
  <c r="BD87" i="5" s="1"/>
  <c r="U26" i="5"/>
  <c r="U39" i="5"/>
  <c r="U38" i="5"/>
  <c r="U36" i="5"/>
  <c r="U33" i="5"/>
  <c r="U31" i="5"/>
  <c r="U54" i="5"/>
  <c r="U75" i="5"/>
  <c r="U76" i="5"/>
  <c r="U84" i="5"/>
  <c r="S24" i="5"/>
  <c r="W14" i="5"/>
  <c r="W15" i="5"/>
  <c r="W22" i="5"/>
  <c r="X22" i="5"/>
  <c r="Y22" i="5"/>
  <c r="S22" i="5"/>
  <c r="W49" i="5"/>
  <c r="W63" i="5"/>
  <c r="X14" i="5"/>
  <c r="X15" i="5"/>
  <c r="X26" i="5" s="1"/>
  <c r="X112" i="5" s="1"/>
  <c r="X16" i="5"/>
  <c r="X17" i="5"/>
  <c r="X18" i="5"/>
  <c r="X20" i="5"/>
  <c r="X23" i="5"/>
  <c r="X25" i="5"/>
  <c r="X29" i="5"/>
  <c r="Y14" i="5"/>
  <c r="Y15" i="5"/>
  <c r="Y17" i="5"/>
  <c r="S17" i="5"/>
  <c r="Y19" i="5"/>
  <c r="Y49" i="5"/>
  <c r="Z26" i="5"/>
  <c r="Z49" i="5"/>
  <c r="AH26" i="5"/>
  <c r="AH49" i="5"/>
  <c r="AH112" i="5" s="1"/>
  <c r="AI26" i="5"/>
  <c r="AI49" i="5"/>
  <c r="AN26" i="5"/>
  <c r="AN49" i="5"/>
  <c r="AN112" i="5"/>
  <c r="AO26" i="5"/>
  <c r="AO49" i="5"/>
  <c r="AO112" i="5" s="1"/>
  <c r="AP26" i="5"/>
  <c r="AP49" i="5"/>
  <c r="AQ26" i="5"/>
  <c r="AQ49" i="5"/>
  <c r="AR13" i="5"/>
  <c r="AR14" i="5"/>
  <c r="AR17" i="5"/>
  <c r="AR19" i="5"/>
  <c r="AR20" i="5"/>
  <c r="AR48" i="5"/>
  <c r="AR47" i="5"/>
  <c r="AR45" i="5"/>
  <c r="AR42" i="5"/>
  <c r="AR41" i="5"/>
  <c r="AR38" i="5"/>
  <c r="AR37" i="5"/>
  <c r="AR36" i="5"/>
  <c r="AR35" i="5"/>
  <c r="AR33" i="5"/>
  <c r="AR31" i="5"/>
  <c r="AR29" i="5"/>
  <c r="AR28" i="5"/>
  <c r="AR27" i="5"/>
  <c r="AR51" i="5"/>
  <c r="AR63" i="5"/>
  <c r="AR88" i="5"/>
  <c r="AR92" i="5"/>
  <c r="AR93" i="5"/>
  <c r="AR95" i="5"/>
  <c r="AR96" i="5"/>
  <c r="AR98" i="5"/>
  <c r="AR100" i="5"/>
  <c r="AR101" i="5"/>
  <c r="AS26" i="5"/>
  <c r="AS49" i="5"/>
  <c r="AS112" i="5" s="1"/>
  <c r="AT26" i="5"/>
  <c r="AT49" i="5"/>
  <c r="AT112" i="5"/>
  <c r="AU26" i="5"/>
  <c r="AU49" i="5"/>
  <c r="AU112" i="5" s="1"/>
  <c r="AV26" i="5"/>
  <c r="AV49" i="5"/>
  <c r="AW22" i="5"/>
  <c r="AW26" i="5" s="1"/>
  <c r="AW112" i="5" s="1"/>
  <c r="AW49" i="5"/>
  <c r="AX26" i="5"/>
  <c r="AX49" i="5"/>
  <c r="AY26" i="5"/>
  <c r="AY48" i="5"/>
  <c r="AY46" i="5"/>
  <c r="AY41" i="5"/>
  <c r="AY37" i="5"/>
  <c r="AY36" i="5"/>
  <c r="AY34" i="5"/>
  <c r="AY28" i="5"/>
  <c r="AZ26" i="5"/>
  <c r="AZ49" i="5"/>
  <c r="AZ112" i="5"/>
  <c r="BA26" i="5"/>
  <c r="BA43" i="5"/>
  <c r="BA49" i="5" s="1"/>
  <c r="BA112" i="5" s="1"/>
  <c r="BA110" i="5"/>
  <c r="BB17" i="5"/>
  <c r="BB26" i="5"/>
  <c r="BB49" i="5"/>
  <c r="BK30" i="5"/>
  <c r="BS30" i="5" s="1"/>
  <c r="BK48" i="5"/>
  <c r="BS48" i="5" s="1"/>
  <c r="BK45" i="5"/>
  <c r="BS45" i="5" s="1"/>
  <c r="BK52" i="5"/>
  <c r="BK56" i="5"/>
  <c r="BS56" i="5"/>
  <c r="BK58" i="5"/>
  <c r="BS58" i="5"/>
  <c r="BK68" i="5"/>
  <c r="BS68" i="5"/>
  <c r="BK71" i="5"/>
  <c r="BS71" i="5"/>
  <c r="BK80" i="5"/>
  <c r="BS80" i="5"/>
  <c r="BK89" i="5"/>
  <c r="BS89" i="5"/>
  <c r="BK93" i="5"/>
  <c r="BS93" i="5"/>
  <c r="BK95" i="5"/>
  <c r="BS95" i="5"/>
  <c r="BK96" i="5"/>
  <c r="BS96" i="5"/>
  <c r="BO49" i="5"/>
  <c r="BE26" i="5"/>
  <c r="BE49" i="5"/>
  <c r="BE112" i="5"/>
  <c r="BH18" i="5"/>
  <c r="BS18" i="5"/>
  <c r="BH49" i="5"/>
  <c r="BJ17" i="5"/>
  <c r="BJ49" i="5"/>
  <c r="BL26" i="5"/>
  <c r="BL49" i="5"/>
  <c r="BL112" i="5"/>
  <c r="BM26" i="5"/>
  <c r="BM49" i="5"/>
  <c r="BM112" i="5" s="1"/>
  <c r="BP14" i="5"/>
  <c r="BP49" i="5"/>
  <c r="J50" i="5"/>
  <c r="S108" i="5"/>
  <c r="S110" i="5"/>
  <c r="S50" i="5"/>
  <c r="S27" i="5"/>
  <c r="Z57" i="5"/>
  <c r="Z107" i="5"/>
  <c r="BT107" i="5"/>
  <c r="BT26" i="5"/>
  <c r="BT49" i="5"/>
  <c r="S82" i="5"/>
  <c r="S66" i="5"/>
  <c r="S84" i="5"/>
  <c r="S39" i="5"/>
  <c r="H26" i="5"/>
  <c r="BI26" i="5"/>
  <c r="BI49" i="5"/>
  <c r="BI112" i="5" s="1"/>
  <c r="BR112" i="5"/>
  <c r="BF49" i="5"/>
  <c r="BF112" i="5"/>
  <c r="S18" i="5"/>
  <c r="W26" i="5"/>
  <c r="S43" i="5"/>
  <c r="S25" i="5"/>
  <c r="BK26" i="5"/>
  <c r="S54" i="5"/>
  <c r="S65" i="5"/>
  <c r="S76" i="5"/>
  <c r="T107" i="5"/>
  <c r="N112" i="5"/>
  <c r="BS52" i="5"/>
  <c r="BH26" i="5"/>
  <c r="S53" i="5"/>
  <c r="S15" i="5"/>
  <c r="AD49" i="5"/>
  <c r="BO26" i="5"/>
  <c r="BO112" i="5" s="1"/>
  <c r="BP26" i="5"/>
  <c r="BP112" i="5" s="1"/>
  <c r="U107" i="5"/>
  <c r="BT112" i="5"/>
  <c r="BS14" i="5"/>
  <c r="P107" i="5"/>
  <c r="S58" i="5"/>
  <c r="BD58" i="5" s="1"/>
  <c r="AD107" i="5"/>
  <c r="AD26" i="5"/>
  <c r="AD112" i="5"/>
  <c r="K112" i="5"/>
  <c r="I112" i="5"/>
  <c r="BS24" i="5"/>
  <c r="BD86" i="5"/>
  <c r="AV112" i="5"/>
  <c r="BD101" i="5"/>
  <c r="AR26" i="5"/>
  <c r="BD15" i="5"/>
  <c r="BD98" i="5"/>
  <c r="BD89" i="5"/>
  <c r="BD111" i="5"/>
  <c r="BD65" i="5"/>
  <c r="BD92" i="5"/>
  <c r="AC112" i="5"/>
  <c r="BK49" i="5"/>
  <c r="P49" i="5"/>
  <c r="M112" i="5"/>
  <c r="BD99" i="5"/>
  <c r="BD90" i="5"/>
  <c r="BD53" i="5"/>
  <c r="G49" i="5"/>
  <c r="G112" i="5"/>
  <c r="S19" i="5"/>
  <c r="BD19" i="5"/>
  <c r="BD108" i="5"/>
  <c r="AX112" i="5"/>
  <c r="AR107" i="5"/>
  <c r="AQ112" i="5"/>
  <c r="AI112" i="5"/>
  <c r="BD54" i="5"/>
  <c r="BD106" i="5"/>
  <c r="BD93" i="5"/>
  <c r="BD25" i="5"/>
  <c r="V26" i="5"/>
  <c r="S14" i="5"/>
  <c r="BD14" i="5"/>
  <c r="S75" i="5"/>
  <c r="BD75" i="5"/>
  <c r="BD39" i="5"/>
  <c r="BD102" i="5"/>
  <c r="BD104" i="5"/>
  <c r="BD96" i="5"/>
  <c r="AM112" i="5"/>
  <c r="AL112" i="5"/>
  <c r="BD18" i="5"/>
  <c r="BD22" i="5"/>
  <c r="S32" i="5"/>
  <c r="BD32" i="5"/>
  <c r="BD43" i="5"/>
  <c r="BD66" i="5"/>
  <c r="BN112" i="5"/>
  <c r="BB112" i="5"/>
  <c r="BD103" i="5"/>
  <c r="BS15" i="5"/>
  <c r="H49" i="5"/>
  <c r="H112" i="5"/>
  <c r="AP112" i="5"/>
  <c r="BD76" i="5"/>
  <c r="AE112" i="5"/>
  <c r="AY49" i="5"/>
  <c r="AY112" i="5" s="1"/>
  <c r="AR49" i="5"/>
  <c r="AR112" i="5" s="1"/>
  <c r="Z112" i="5"/>
  <c r="BD95" i="5"/>
  <c r="S23" i="5"/>
  <c r="BD23" i="5" s="1"/>
  <c r="S40" i="5"/>
  <c r="BD40" i="5" s="1"/>
  <c r="BD44" i="5"/>
  <c r="S48" i="5"/>
  <c r="BD48" i="5"/>
  <c r="S73" i="5"/>
  <c r="BD73" i="5"/>
  <c r="U49" i="5"/>
  <c r="S46" i="5"/>
  <c r="BD46" i="5" s="1"/>
  <c r="Y26" i="5"/>
  <c r="Y112" i="5" s="1"/>
  <c r="X49" i="5"/>
  <c r="S29" i="5"/>
  <c r="BD29" i="5" s="1"/>
  <c r="BD84" i="5"/>
  <c r="S36" i="5"/>
  <c r="BD36" i="5"/>
  <c r="P112" i="5"/>
  <c r="J49" i="5"/>
  <c r="S16" i="5"/>
  <c r="BD16" i="5"/>
  <c r="S20" i="5"/>
  <c r="BD20" i="5"/>
  <c r="BD24" i="5"/>
  <c r="S37" i="5"/>
  <c r="BD37" i="5" s="1"/>
  <c r="S45" i="5"/>
  <c r="BD45" i="5" s="1"/>
  <c r="S55" i="5"/>
  <c r="BD55" i="5"/>
  <c r="S61" i="5"/>
  <c r="BD61" i="5"/>
  <c r="BD74" i="5"/>
  <c r="BD77" i="5"/>
  <c r="BD47" i="5"/>
  <c r="BD27" i="5"/>
  <c r="S71" i="5"/>
  <c r="BD71" i="5" s="1"/>
  <c r="BD82" i="5"/>
  <c r="BD97" i="5"/>
  <c r="AA28" i="5"/>
  <c r="AB49" i="5"/>
  <c r="AA49" i="5"/>
  <c r="BS85" i="5"/>
  <c r="BK107" i="5"/>
  <c r="BD17" i="5"/>
  <c r="S34" i="5"/>
  <c r="BD34" i="5" s="1"/>
  <c r="S52" i="5"/>
  <c r="BD52" i="5" s="1"/>
  <c r="V107" i="5"/>
  <c r="BD56" i="5"/>
  <c r="BD50" i="5"/>
  <c r="BS17" i="5"/>
  <c r="BJ26" i="5"/>
  <c r="BJ112" i="5"/>
  <c r="BS49" i="5"/>
  <c r="W107" i="5"/>
  <c r="W112" i="5" s="1"/>
  <c r="S63" i="5"/>
  <c r="BD63" i="5" s="1"/>
  <c r="S31" i="5"/>
  <c r="BD31" i="5" s="1"/>
  <c r="BD88" i="5"/>
  <c r="S28" i="5"/>
  <c r="BD28" i="5" s="1"/>
  <c r="S83" i="5"/>
  <c r="BD83" i="5" s="1"/>
  <c r="BD42" i="5"/>
  <c r="BH107" i="5"/>
  <c r="BS105" i="5"/>
  <c r="BD94" i="5"/>
  <c r="AB112" i="5"/>
  <c r="AA110" i="5"/>
  <c r="AA112" i="5"/>
  <c r="S57" i="5"/>
  <c r="BD57" i="5"/>
  <c r="S33" i="5"/>
  <c r="BD33" i="5"/>
  <c r="S35" i="5"/>
  <c r="BD35" i="5"/>
  <c r="S38" i="5"/>
  <c r="BD38" i="5"/>
  <c r="S41" i="5"/>
  <c r="BD41" i="5"/>
  <c r="S70" i="5"/>
  <c r="BD70" i="5"/>
  <c r="S72" i="5"/>
  <c r="S100" i="5"/>
  <c r="BD100" i="5" s="1"/>
  <c r="BD13" i="5"/>
  <c r="BS26" i="5"/>
  <c r="S107" i="5"/>
  <c r="BK112" i="5"/>
  <c r="BH112" i="5"/>
  <c r="BS112" i="5"/>
  <c r="BS107" i="5"/>
  <c r="BD72" i="5"/>
  <c r="U112" i="5"/>
  <c r="BD110" i="5"/>
  <c r="S49" i="5" l="1"/>
  <c r="BD49" i="5" s="1"/>
  <c r="BD107" i="5"/>
  <c r="T112" i="5"/>
  <c r="BD26" i="5"/>
  <c r="S26" i="5"/>
  <c r="BD60" i="5"/>
  <c r="S112" i="5" l="1"/>
  <c r="BD112" i="5"/>
</calcChain>
</file>

<file path=xl/sharedStrings.xml><?xml version="1.0" encoding="utf-8"?>
<sst xmlns="http://schemas.openxmlformats.org/spreadsheetml/2006/main" count="365" uniqueCount="311">
  <si>
    <t>грн</t>
  </si>
  <si>
    <t>Код бюджету</t>
  </si>
  <si>
    <t>Обсяги міжбюджетних трансфертів, що передаються з обласного бюджету до державного бюджету</t>
  </si>
  <si>
    <t>Разом</t>
  </si>
  <si>
    <t>загальний фонд</t>
  </si>
  <si>
    <t>спеціальний фонд</t>
  </si>
  <si>
    <t>субвенції на здійснення програм соціального захисту:</t>
  </si>
  <si>
    <t>інші субвенції</t>
  </si>
  <si>
    <t>на охорону і раціональне використання земель</t>
  </si>
  <si>
    <t>04100000000</t>
  </si>
  <si>
    <t>Обласний бюджет</t>
  </si>
  <si>
    <t>Державний бюджет</t>
  </si>
  <si>
    <t>04202100000</t>
  </si>
  <si>
    <t>04201100000</t>
  </si>
  <si>
    <t>04203100000</t>
  </si>
  <si>
    <t>04204100000</t>
  </si>
  <si>
    <t>04205100000</t>
  </si>
  <si>
    <t>04206100000</t>
  </si>
  <si>
    <t>04207100000</t>
  </si>
  <si>
    <t>04208100000</t>
  </si>
  <si>
    <t>04209100000</t>
  </si>
  <si>
    <t>04210100000</t>
  </si>
  <si>
    <t>04211100000</t>
  </si>
  <si>
    <t>04212100000</t>
  </si>
  <si>
    <t>04213100000</t>
  </si>
  <si>
    <t>04301200000</t>
  </si>
  <si>
    <t>04302200000</t>
  </si>
  <si>
    <t>04303200000</t>
  </si>
  <si>
    <t>04304200000</t>
  </si>
  <si>
    <t>04305200000</t>
  </si>
  <si>
    <t>04306200000</t>
  </si>
  <si>
    <t>04307200000</t>
  </si>
  <si>
    <t>04308200000</t>
  </si>
  <si>
    <t>04309200000</t>
  </si>
  <si>
    <t>04310200000</t>
  </si>
  <si>
    <t>04311200000</t>
  </si>
  <si>
    <t>04312200000</t>
  </si>
  <si>
    <t>04313200000</t>
  </si>
  <si>
    <t>04314200000</t>
  </si>
  <si>
    <t>04315200000</t>
  </si>
  <si>
    <t>04316200000</t>
  </si>
  <si>
    <t>04317200000</t>
  </si>
  <si>
    <t>04318200000</t>
  </si>
  <si>
    <t>04319200000</t>
  </si>
  <si>
    <t>04320200000</t>
  </si>
  <si>
    <t>04321200000</t>
  </si>
  <si>
    <t>04322200000</t>
  </si>
  <si>
    <t>Обсяги міжбюджетних трансфертів, що передаються з обласного бюджету до місцевих бюджетів</t>
  </si>
  <si>
    <t>Назва адміністративно-територіальних одиниць</t>
  </si>
  <si>
    <t>Апостолівський р-н</t>
  </si>
  <si>
    <t xml:space="preserve">Разом </t>
  </si>
  <si>
    <t>м. Вільногірськ</t>
  </si>
  <si>
    <t>м. Жовті Води</t>
  </si>
  <si>
    <t>м. Кривий Ріг</t>
  </si>
  <si>
    <t>м. Марганець</t>
  </si>
  <si>
    <t>м. Нікополь</t>
  </si>
  <si>
    <t>м. Новомосковськ</t>
  </si>
  <si>
    <t>м. Павлоград</t>
  </si>
  <si>
    <t>м. Першотравенськ</t>
  </si>
  <si>
    <t>м. Синельникове</t>
  </si>
  <si>
    <t>м. Тернівка</t>
  </si>
  <si>
    <t>Васильківський р-н</t>
  </si>
  <si>
    <t>Верхньодніпровський р-н</t>
  </si>
  <si>
    <t>Криворізький р-н</t>
  </si>
  <si>
    <t>Криничанський р-н</t>
  </si>
  <si>
    <t>Магдалинівський р-н</t>
  </si>
  <si>
    <t>Межівський р-н</t>
  </si>
  <si>
    <t>Нікопольський р-н</t>
  </si>
  <si>
    <t>Новомосковський р-н</t>
  </si>
  <si>
    <t>Павлоградський р-н</t>
  </si>
  <si>
    <t>Петриківський р-н</t>
  </si>
  <si>
    <t>Петропавлівський р-н</t>
  </si>
  <si>
    <t>Покровський р-н</t>
  </si>
  <si>
    <t>П’ятихатський р-н</t>
  </si>
  <si>
    <t>Синельниківський р-н</t>
  </si>
  <si>
    <t>Солонянський р-н</t>
  </si>
  <si>
    <t>Софіївський р-н</t>
  </si>
  <si>
    <t>Томаківський р-н</t>
  </si>
  <si>
    <t>Царичанський р-н</t>
  </si>
  <si>
    <t>Широківський р-н</t>
  </si>
  <si>
    <t>Юр’ївський р-н</t>
  </si>
  <si>
    <t xml:space="preserve">Обсяги міжбюджетних трансфертів, що передаються з обласного бюджету до місцевих бюджетів за рахунок коштів  державного бюджету </t>
  </si>
  <si>
    <t>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</si>
  <si>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м. Покров</t>
  </si>
  <si>
    <t>Дніпровський р-н</t>
  </si>
  <si>
    <t>Реверсна дотація</t>
  </si>
  <si>
    <t>м. Дніпро</t>
  </si>
  <si>
    <t>субвенції</t>
  </si>
  <si>
    <t xml:space="preserve">на фінансування переможців обласного конкурсу мікропроектів з енергоефективності в житловому секторі </t>
  </si>
  <si>
    <t>КПКВК 3719110</t>
  </si>
  <si>
    <t>КПКВК 3719230</t>
  </si>
  <si>
    <t>КПКВК 3719210</t>
  </si>
  <si>
    <t>КПКВК 3719220</t>
  </si>
  <si>
    <t>КПКВК 3719250</t>
  </si>
  <si>
    <t>КПКВК 2819800</t>
  </si>
  <si>
    <t>КПКВК 0119770</t>
  </si>
  <si>
    <t>КПКВК 2419770</t>
  </si>
  <si>
    <t>на фінансування переможців обласного конкурсу проектів і програм розвитку місцевого самоврядування</t>
  </si>
  <si>
    <t>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(на умовах співфінансування)</t>
  </si>
  <si>
    <t>КПКВК 3719130</t>
  </si>
  <si>
    <t>на природоохоронні заходи</t>
  </si>
  <si>
    <t>Об’єднані територіальні громади</t>
  </si>
  <si>
    <t>04501000000</t>
  </si>
  <si>
    <t>Апостолівська міська рада</t>
  </si>
  <si>
    <t>04502000000</t>
  </si>
  <si>
    <t xml:space="preserve">Богданівська сільська рада </t>
  </si>
  <si>
    <t>04503000000</t>
  </si>
  <si>
    <t>Вербківська сільська рада</t>
  </si>
  <si>
    <t>04504000000</t>
  </si>
  <si>
    <t>Святовасилівська сільська рада</t>
  </si>
  <si>
    <t>04506000000</t>
  </si>
  <si>
    <t>Зеленодольська міська рада</t>
  </si>
  <si>
    <t>04507000000</t>
  </si>
  <si>
    <t>Грушівська сільська рада</t>
  </si>
  <si>
    <t>04508000000</t>
  </si>
  <si>
    <t>Ляшківська сільська рада</t>
  </si>
  <si>
    <t>04510000000</t>
  </si>
  <si>
    <t>Нивотрудівська сільська рада</t>
  </si>
  <si>
    <t>04511000000</t>
  </si>
  <si>
    <t>Новоолександрівська сільська рада</t>
  </si>
  <si>
    <t>04512000000</t>
  </si>
  <si>
    <t>Новопокровська селищна рада</t>
  </si>
  <si>
    <t>04513000000</t>
  </si>
  <si>
    <t>Солонянська селищна рада</t>
  </si>
  <si>
    <t>04514000000</t>
  </si>
  <si>
    <t xml:space="preserve">Сурсько-Литовська сільська рада </t>
  </si>
  <si>
    <t>04515000000</t>
  </si>
  <si>
    <t>04517000000</t>
  </si>
  <si>
    <t>Аульська селищна рада</t>
  </si>
  <si>
    <t>04518000000</t>
  </si>
  <si>
    <t>Божедарівська селищна рада</t>
  </si>
  <si>
    <t>04519000000</t>
  </si>
  <si>
    <t>Васильківська селищна рада</t>
  </si>
  <si>
    <t>04521000000</t>
  </si>
  <si>
    <t>Криничанська селищна рада</t>
  </si>
  <si>
    <t>04524000000</t>
  </si>
  <si>
    <t>Роздорська селищна рада</t>
  </si>
  <si>
    <t>04527000000</t>
  </si>
  <si>
    <t>Царичанська селищна рада</t>
  </si>
  <si>
    <t>04529000000</t>
  </si>
  <si>
    <t>Великомихайлівська сільська рада</t>
  </si>
  <si>
    <t>04530000000</t>
  </si>
  <si>
    <t>Гречаноподівська сільська рада</t>
  </si>
  <si>
    <t>04531000000</t>
  </si>
  <si>
    <t>Маломихайлівська сільська рада</t>
  </si>
  <si>
    <t>04532000000</t>
  </si>
  <si>
    <t>Новолатівська сільська рада</t>
  </si>
  <si>
    <t>04533000000</t>
  </si>
  <si>
    <t>Новопавлівська сільська рада</t>
  </si>
  <si>
    <t>04534000000</t>
  </si>
  <si>
    <t>Чкаловська сільська рада</t>
  </si>
  <si>
    <t>Зайцівська сільська рада</t>
  </si>
  <si>
    <t>Карпівська селищна рада</t>
  </si>
  <si>
    <t>Китайгородська сільська рада</t>
  </si>
  <si>
    <t>Лошкарівська сільська рада</t>
  </si>
  <si>
    <t>Межівська селищна рада</t>
  </si>
  <si>
    <t>Межиріцька сільська рада</t>
  </si>
  <si>
    <t>Раївська сільська рада</t>
  </si>
  <si>
    <t>Славгородська селищна рада</t>
  </si>
  <si>
    <t xml:space="preserve">Троїцька сільська рада </t>
  </si>
  <si>
    <t>Червоногригорівська селищна рада</t>
  </si>
  <si>
    <t>Широківська селищна рада</t>
  </si>
  <si>
    <t>04509000000</t>
  </si>
  <si>
    <t>Могилівська сільська рада</t>
  </si>
  <si>
    <t>Усього</t>
  </si>
  <si>
    <t>м. Кам’янське</t>
  </si>
  <si>
    <t>КПКВК 0719460</t>
  </si>
  <si>
    <t>КПКВК 0919270</t>
  </si>
  <si>
    <t>на виконання доручень виборців депутатами обласної ради у 2018 році</t>
  </si>
  <si>
    <t>04545000000</t>
  </si>
  <si>
    <t>04550000000</t>
  </si>
  <si>
    <t>04549000000</t>
  </si>
  <si>
    <t>04538000000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</si>
  <si>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</si>
  <si>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</si>
  <si>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</si>
  <si>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</si>
  <si>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</si>
  <si>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</si>
  <si>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</si>
  <si>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</si>
  <si>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</si>
  <si>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</si>
  <si>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КПКВК 0219620</t>
  </si>
  <si>
    <t>04554000000</t>
  </si>
  <si>
    <t>04556000000</t>
  </si>
  <si>
    <t>у тому числі</t>
  </si>
  <si>
    <t>КПКВК 2219800</t>
  </si>
  <si>
    <t>КПКВК 3719800</t>
  </si>
  <si>
    <t>на реалізацію заходів регіональної Програми забезпечення громадського порядку та громадської безпеки на території  Дніпропетровської області на період до 2020 року</t>
  </si>
  <si>
    <t>на реалізацію заходів програми впровадження державної політики органами виконавчої влади у Дніпропетровській області на 2016 – 2020 роки</t>
  </si>
  <si>
    <t>КФКД 41053700</t>
  </si>
  <si>
    <t>на співфінансування інвестиційних проектів</t>
  </si>
  <si>
    <t>Слобожанська селищна рада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</si>
  <si>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наслідків</t>
  </si>
  <si>
    <t>КФКД 41053900</t>
  </si>
  <si>
    <t>04520000000</t>
  </si>
  <si>
    <t>Вишнівська селищна рада</t>
  </si>
  <si>
    <t>04526000000</t>
  </si>
  <si>
    <t>Томаківська селищна рада</t>
  </si>
  <si>
    <t>04528000000</t>
  </si>
  <si>
    <t>Варварівська сільська рада</t>
  </si>
  <si>
    <t>КФКД 41053500</t>
  </si>
  <si>
    <t>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</si>
  <si>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Українська сільська рада </t>
  </si>
  <si>
    <t xml:space="preserve">Девладівська сільська рада </t>
  </si>
  <si>
    <t>КПКВК 0619320</t>
  </si>
  <si>
    <t>на оновлення матеріально-технічної бази</t>
  </si>
  <si>
    <t>на підтримку інклюзивної освіти</t>
  </si>
  <si>
    <t>на впровадження новітніх технологій</t>
  </si>
  <si>
    <t xml:space="preserve">  З НИХ               </t>
  </si>
  <si>
    <t>на оснащення закладів загальної середньої освіти з поглибленим/ профільним навчанням та опорних шкіл засобами навчання</t>
  </si>
  <si>
    <t>на придбання обладнання та витратних матеріалів для початкової школи</t>
  </si>
  <si>
    <t>на придбання обладнання для інноваційного навчально-тренінгового класу</t>
  </si>
  <si>
    <t>на придбання обладнання для створення умов для підготовки та проведення зовнішнього незалежного оцінювання з іноземних мов</t>
  </si>
  <si>
    <t>КФКД 41051500</t>
  </si>
  <si>
    <t>на здійснення переданих видатків у сфері охорони здоров’я за рахунок коштів медичної субвенції</t>
  </si>
  <si>
    <t>05100000000</t>
  </si>
  <si>
    <t>Обласний бюджет Донецької області</t>
  </si>
  <si>
    <t>КПКВК 0719770</t>
  </si>
  <si>
    <t>04551000000</t>
  </si>
  <si>
    <t>Миколаївська сільська рада
(Васильківський р-н)</t>
  </si>
  <si>
    <t>Миколаївська сільська рада
(Петропавлівський р-н)</t>
  </si>
  <si>
    <t>04516000000</t>
  </si>
  <si>
    <t>Мирівська сільська рада</t>
  </si>
  <si>
    <t>КФКД 41053300</t>
  </si>
  <si>
    <t>11100000000</t>
  </si>
  <si>
    <t>Обласний бюджет Кіровоградської області</t>
  </si>
  <si>
    <t>КПКВК 0719410</t>
  </si>
  <si>
    <t>Першотравневська сільська рада</t>
  </si>
  <si>
    <t>04525000000</t>
  </si>
  <si>
    <t>Софіївська селищна рада</t>
  </si>
  <si>
    <t>КПКВК 3719150</t>
  </si>
  <si>
    <t>інші  дотаціі з місцевого бюджету</t>
  </si>
  <si>
    <t>КПКВК 3719570</t>
  </si>
  <si>
    <t>КПКВК 0719420</t>
  </si>
  <si>
    <t>Субвенція з місцевого бюджету за рахунок залишку коштів медичної субвенції, що утворився на початок бюджетного періоду</t>
  </si>
  <si>
    <t>04552000000</t>
  </si>
  <si>
    <t>Юр’ївська селищна рада</t>
  </si>
  <si>
    <t>КПКВК 0619770</t>
  </si>
  <si>
    <t>на створення ресурсних кімнат для дітей з особливими освітніми потребами, що потребують інклюзивної освіти</t>
  </si>
  <si>
    <t>04523000000</t>
  </si>
  <si>
    <t>Покровська селищна рада</t>
  </si>
  <si>
    <t>04522000000</t>
  </si>
  <si>
    <t>Лихівська селищна рада</t>
  </si>
  <si>
    <t>04505000000</t>
  </si>
  <si>
    <t>Вакулівська сільська рада</t>
  </si>
  <si>
    <t>на придбання обладнання для  кабінетів української мови в закладах загальної середньої освіти з навчанням мовами національних меншин</t>
  </si>
  <si>
    <t>КПКВК 0619800</t>
  </si>
  <si>
    <t>на виконання програм соціально-економічного розвитку регіонів</t>
  </si>
  <si>
    <t xml:space="preserve">за рахунок залишку субвенції з державного бюджету місцевим бюджетам на здійснення заходів щодо соціально-економічного розвитку окремих територій </t>
  </si>
  <si>
    <t>КПКВК 1519770</t>
  </si>
  <si>
    <t>КПКВК 6819800</t>
  </si>
  <si>
    <t xml:space="preserve">на підготовку і проведення перших виборів депутатів сільських, селищних, міських рад і відповідних сільських, селищних, міських голів </t>
  </si>
  <si>
    <t>на виготовлення органами ведення Державного реєстру виборців списків виборців та іменних запрошень для підготовки і проведення перших виборів депутатів сільських, селищних, міських рад і відповідних сільських, селищних, міських голів</t>
  </si>
  <si>
    <t>КПКВК 1219610</t>
  </si>
  <si>
    <t xml:space="preserve"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</si>
  <si>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</si>
  <si>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проведення виборів депутатів місцевих рад та сільських, селищних, міських голів </t>
  </si>
  <si>
    <t>на відшкодування вартості лікарських засобів для лікування окремих захворювань</t>
  </si>
  <si>
    <t>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</si>
  <si>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04547000000</t>
  </si>
  <si>
    <t>Ілларіонівська селищна рада</t>
  </si>
  <si>
    <r>
      <t xml:space="preserve">З НИХ       </t>
    </r>
    <r>
      <rPr>
        <i/>
        <sz val="40"/>
        <rFont val="Arial Cyr"/>
        <family val="2"/>
        <charset val="204"/>
      </rPr>
      <t xml:space="preserve">      </t>
    </r>
  </si>
  <si>
    <t>Обсяги міжбюджетних трансфертів, що передаються з інших місцевих бюджетів до обласного бюджету</t>
  </si>
  <si>
    <t xml:space="preserve">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 </t>
  </si>
  <si>
    <t>Петриківська селищна рада</t>
  </si>
  <si>
    <t>Додаток 4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</si>
  <si>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</si>
  <si>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</si>
  <si>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 </t>
  </si>
  <si>
    <t xml:space="preserve">на підготовку і проведення повторного голосування з перших виборів депутатів сільських, селищних рад </t>
  </si>
  <si>
    <t>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</t>
  </si>
  <si>
    <t>на підтримку об’єднаних територіальних громад (впровадження енергозберігаючих технологій)</t>
  </si>
  <si>
    <t>на виконання заходів регіональної цільової соціальної програми „Освіта Дніпропетровщини до 2018 року”</t>
  </si>
  <si>
    <t>на реалізацію заходів Регіональної цільової соціальної програми захисту населення і територій від надзвичайних ситуацій техногенного та природного характеру, забезпечення пожежної безпеки Дніпропетровської області на 2016 – 2020 роки</t>
  </si>
  <si>
    <t>на реалізацію заходів програми впровадження державної політики органами виконавчої влади у Дніпропетровській області
на 2016 – 2020 роки</t>
  </si>
  <si>
    <t>на підвищення кваліфікації (рівня освіти) окремих працівників закладів охорони здоров’я та органів управління відповідної галузі</t>
  </si>
  <si>
    <t>на 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</si>
  <si>
    <t>на капітальні видатки  та облаштування об’єктів соціально- культурної сфери</t>
  </si>
  <si>
    <t>на утримання об’єктів спільного користування чи ліквідацію негативних наслідків діяльності об’єктів спільного користування</t>
  </si>
  <si>
    <t>Обласному бюджету на придбання медикаментів, реагентів та витратних матеріалів для КЗ „Міжобласний центр медичної генетики і пренатальної діагностики імені П.М. Веропотвеляна” ДОР</t>
  </si>
  <si>
    <t>на відшкодування витрат за житлово-комунальні послуги та за тимчасове проживання внутрішньо переміщених осіб (вимушених переселенців) у м. Дніпрі</t>
  </si>
  <si>
    <t>на виконання Програми виконання доручень виборців депутатами Дніпровської міської ради VII скликання
на 2016 – 2020 роки</t>
  </si>
  <si>
    <t>С. ОЛІЙНИК</t>
  </si>
  <si>
    <t>на придбання предметів та матеріалів для ДПТНЗ "Марганецький професійний ліцей"</t>
  </si>
  <si>
    <t>КПКВК 0619330</t>
  </si>
  <si>
    <t>Обласному бюджету на утримання Криворізької філії КЗ "Дніпропетровська обласна клінічна офтальмологічна лікарня"</t>
  </si>
  <si>
    <t>045360000000</t>
  </si>
  <si>
    <t>Верхньодніпровська міська рада</t>
  </si>
  <si>
    <t>КФКД 41054100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</si>
  <si>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</si>
  <si>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Любимівська сільська рада</t>
  </si>
  <si>
    <t>Саксаганська сільська рада</t>
  </si>
  <si>
    <t>04553000000</t>
  </si>
  <si>
    <t>04555000000</t>
  </si>
  <si>
    <t>КПКВК 0619350</t>
  </si>
  <si>
    <t xml:space="preserve">  З НИХ       </t>
  </si>
  <si>
    <t>на придбання дидактичного матеріалу</t>
  </si>
  <si>
    <t>на придбання сучасних меблів для початкових класів</t>
  </si>
  <si>
    <t>на придбання комп'ютерного обладнання, відповідного мультимедійного контенту для початкових класів</t>
  </si>
  <si>
    <t xml:space="preserve">  З НИХ </t>
  </si>
  <si>
    <t>підтримка осіб з особливими освітніми потребами</t>
  </si>
  <si>
    <t>оснащення кабінетів інклюзивно- ресурсних центрів</t>
  </si>
  <si>
    <t>на розвиток дорожнього господарства</t>
  </si>
  <si>
    <t xml:space="preserve"> на надання державної підтримки особам з особливими освітніми потребами</t>
  </si>
  <si>
    <t xml:space="preserve"> на забезпечення якісної, сучасної та доступної загальної середньої освіти "Нова українська школа" </t>
  </si>
  <si>
    <t>Субвенція  за рахунок залишку коштів освітньої субвенції, що утворився на початок бюджетного періоду</t>
  </si>
  <si>
    <t>до рішення обласної ради</t>
  </si>
  <si>
    <t>Показники міжбюджетних трансфертів між обласним бюджетом та іншими бюджетами на 2018 рік</t>
  </si>
  <si>
    <t xml:space="preserve">Перший заступник голови обласної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</si>
</sst>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56"/>
      <name val="Arial Cyr"/>
      <family val="2"/>
      <charset val="204"/>
    </font>
    <font>
      <sz val="50"/>
      <name val="Times New Roman"/>
      <family val="1"/>
      <charset val="204"/>
    </font>
    <font>
      <sz val="22"/>
      <name val="Times New Roman"/>
      <family val="1"/>
      <charset val="204"/>
    </font>
    <font>
      <b/>
      <sz val="48"/>
      <name val="Times New Roman"/>
      <family val="1"/>
      <charset val="204"/>
    </font>
    <font>
      <sz val="56"/>
      <name val="Times New Roman"/>
      <family val="1"/>
      <charset val="204"/>
    </font>
    <font>
      <sz val="26"/>
      <name val="Times New Roman"/>
      <family val="1"/>
      <charset val="204"/>
    </font>
    <font>
      <sz val="44"/>
      <name val="Times New Roman"/>
      <family val="1"/>
      <charset val="204"/>
    </font>
    <font>
      <sz val="42"/>
      <name val="Times New Roman"/>
      <family val="1"/>
      <charset val="204"/>
    </font>
    <font>
      <sz val="11"/>
      <name val="Arial Cyr"/>
      <family val="2"/>
      <charset val="204"/>
    </font>
    <font>
      <i/>
      <sz val="44"/>
      <name val="Times New Roman"/>
      <family val="1"/>
      <charset val="204"/>
    </font>
    <font>
      <sz val="46"/>
      <name val="Times New Roman"/>
      <family val="1"/>
      <charset val="204"/>
    </font>
    <font>
      <sz val="46"/>
      <name val="Times New Roman Cyr"/>
      <family val="1"/>
      <charset val="204"/>
    </font>
    <font>
      <b/>
      <sz val="10"/>
      <name val="Arial Cyr"/>
      <family val="2"/>
      <charset val="204"/>
    </font>
    <font>
      <sz val="28"/>
      <name val="Times New Roman"/>
      <family val="1"/>
      <charset val="204"/>
    </font>
    <font>
      <sz val="40"/>
      <name val="Bookman Old Style"/>
      <family val="1"/>
      <charset val="204"/>
    </font>
    <font>
      <sz val="40"/>
      <name val="Arial Cyr"/>
      <family val="2"/>
      <charset val="204"/>
    </font>
    <font>
      <sz val="20"/>
      <name val="Arial Cyr"/>
      <family val="2"/>
      <charset val="204"/>
    </font>
    <font>
      <sz val="10"/>
      <name val="Arial"/>
      <family val="2"/>
      <charset val="204"/>
    </font>
    <font>
      <b/>
      <sz val="52"/>
      <name val="Times New Roman"/>
      <family val="1"/>
      <charset val="204"/>
    </font>
    <font>
      <sz val="50"/>
      <name val="Arial Cyr"/>
      <family val="2"/>
      <charset val="204"/>
    </font>
    <font>
      <sz val="5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5"/>
      <name val="Times New Roman"/>
      <family val="1"/>
      <charset val="204"/>
    </font>
    <font>
      <sz val="40"/>
      <name val="Times New Roman"/>
      <family val="1"/>
      <charset val="204"/>
    </font>
    <font>
      <i/>
      <sz val="40"/>
      <name val="Times New Roman"/>
      <family val="1"/>
      <charset val="204"/>
    </font>
    <font>
      <i/>
      <sz val="40"/>
      <name val="Arial Cyr"/>
      <family val="2"/>
      <charset val="204"/>
    </font>
    <font>
      <sz val="3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9" fillId="0" borderId="0"/>
    <xf numFmtId="0" fontId="23" fillId="0" borderId="0">
      <alignment vertical="top"/>
    </xf>
    <xf numFmtId="0" fontId="19" fillId="0" borderId="0"/>
    <xf numFmtId="0" fontId="19" fillId="0" borderId="0"/>
  </cellStyleXfs>
  <cellXfs count="122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1" fillId="0" borderId="0" xfId="0" applyFont="1" applyFill="1"/>
    <xf numFmtId="0" fontId="1" fillId="0" borderId="0" xfId="0" applyFont="1" applyFill="1" applyAlignment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vertical="center" wrapText="1"/>
    </xf>
    <xf numFmtId="0" fontId="1" fillId="0" borderId="1" xfId="0" applyFont="1" applyFill="1" applyBorder="1"/>
    <xf numFmtId="0" fontId="14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6" fillId="0" borderId="0" xfId="0" applyFont="1" applyFill="1"/>
    <xf numFmtId="3" fontId="15" fillId="0" borderId="0" xfId="0" applyNumberFormat="1" applyFont="1" applyFill="1" applyBorder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Border="1"/>
    <xf numFmtId="0" fontId="9" fillId="0" borderId="2" xfId="0" applyFont="1" applyFill="1" applyBorder="1" applyAlignment="1">
      <alignment vertical="center" wrapText="1"/>
    </xf>
    <xf numFmtId="3" fontId="24" fillId="0" borderId="0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2" fillId="0" borderId="5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horizontal="right" vertical="center"/>
    </xf>
    <xf numFmtId="4" fontId="20" fillId="0" borderId="0" xfId="0" applyNumberFormat="1" applyFont="1" applyFill="1" applyAlignment="1"/>
    <xf numFmtId="0" fontId="18" fillId="0" borderId="0" xfId="0" applyFont="1" applyFill="1" applyBorder="1"/>
    <xf numFmtId="3" fontId="1" fillId="0" borderId="0" xfId="0" applyNumberFormat="1" applyFont="1" applyFill="1" applyBorder="1"/>
    <xf numFmtId="4" fontId="12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Alignment="1" applyProtection="1">
      <alignment vertical="center" wrapText="1"/>
    </xf>
    <xf numFmtId="0" fontId="10" fillId="0" borderId="6" xfId="0" applyFont="1" applyFill="1" applyBorder="1"/>
    <xf numFmtId="0" fontId="8" fillId="0" borderId="7" xfId="0" applyFont="1" applyFill="1" applyBorder="1" applyAlignment="1">
      <alignment vertical="center" wrapText="1"/>
    </xf>
    <xf numFmtId="0" fontId="10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>
      <alignment horizontal="center"/>
    </xf>
    <xf numFmtId="4" fontId="13" fillId="0" borderId="5" xfId="0" applyNumberFormat="1" applyFont="1" applyFill="1" applyBorder="1" applyAlignment="1">
      <alignment vertical="center"/>
    </xf>
    <xf numFmtId="4" fontId="22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right" wrapText="1"/>
    </xf>
    <xf numFmtId="0" fontId="25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/>
    <xf numFmtId="0" fontId="17" fillId="0" borderId="6" xfId="0" applyFont="1" applyFill="1" applyBorder="1"/>
    <xf numFmtId="0" fontId="17" fillId="0" borderId="1" xfId="0" applyFont="1" applyFill="1" applyBorder="1"/>
    <xf numFmtId="0" fontId="11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22" fillId="0" borderId="0" xfId="0" applyNumberFormat="1" applyFont="1" applyFill="1" applyBorder="1" applyAlignment="1" applyProtection="1">
      <alignment vertical="center" wrapText="1"/>
    </xf>
    <xf numFmtId="4" fontId="20" fillId="0" borderId="0" xfId="0" applyNumberFormat="1" applyFont="1" applyFill="1" applyBorder="1" applyAlignment="1"/>
    <xf numFmtId="0" fontId="6" fillId="0" borderId="1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/>
    <xf numFmtId="4" fontId="22" fillId="0" borderId="0" xfId="0" applyNumberFormat="1" applyFont="1" applyFill="1" applyBorder="1" applyAlignment="1">
      <alignment horizontal="right"/>
    </xf>
    <xf numFmtId="2" fontId="11" fillId="0" borderId="7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horizontal="right" vertical="center"/>
    </xf>
    <xf numFmtId="4" fontId="12" fillId="0" borderId="2" xfId="0" applyNumberFormat="1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2" fontId="11" fillId="0" borderId="7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left"/>
    </xf>
    <xf numFmtId="0" fontId="28" fillId="0" borderId="2" xfId="0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right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</cellXfs>
  <cellStyles count="5">
    <cellStyle name="Normal_Доходи" xfId="1"/>
    <cellStyle name="Звичайний_Додаток _ 3 зм_ни 4575" xfId="2"/>
    <cellStyle name="Обычный" xfId="0" builtinId="0"/>
    <cellStyle name="Обычный 2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6"/>
  <sheetViews>
    <sheetView showZeros="0" tabSelected="1" view="pageBreakPreview" zoomScale="20" zoomScaleNormal="25" zoomScaleSheetLayoutView="20" workbookViewId="0">
      <pane xSplit="2" ySplit="12" topLeftCell="C46" activePane="bottomRight" state="frozen"/>
      <selection pane="topRight" activeCell="C1" sqref="C1"/>
      <selection pane="bottomLeft" activeCell="A14" sqref="A14"/>
      <selection pane="bottomRight" activeCell="BU128" sqref="BU128"/>
    </sheetView>
  </sheetViews>
  <sheetFormatPr defaultRowHeight="12.75" x14ac:dyDescent="0.2"/>
  <cols>
    <col min="1" max="1" width="52.28515625" style="2" customWidth="1"/>
    <col min="2" max="2" width="171" style="2" customWidth="1"/>
    <col min="3" max="3" width="105.85546875" style="2" customWidth="1"/>
    <col min="4" max="4" width="95.85546875" style="2" customWidth="1"/>
    <col min="5" max="5" width="242.140625" style="2" customWidth="1"/>
    <col min="6" max="6" width="139" style="2" customWidth="1"/>
    <col min="7" max="7" width="71.85546875" style="2" customWidth="1"/>
    <col min="8" max="8" width="222.85546875" style="2" customWidth="1"/>
    <col min="9" max="9" width="99.28515625" style="2" customWidth="1"/>
    <col min="10" max="10" width="86.42578125" style="2" customWidth="1"/>
    <col min="11" max="11" width="78.5703125" style="2" customWidth="1"/>
    <col min="12" max="12" width="90" style="2" customWidth="1"/>
    <col min="13" max="13" width="137.140625" style="2" customWidth="1"/>
    <col min="14" max="14" width="78.5703125" style="2" customWidth="1"/>
    <col min="15" max="15" width="77.140625" style="2" customWidth="1"/>
    <col min="16" max="16" width="68.5703125" style="2" customWidth="1"/>
    <col min="17" max="17" width="102.85546875" style="2" customWidth="1"/>
    <col min="18" max="18" width="255.7109375" style="2" customWidth="1"/>
    <col min="19" max="19" width="82.140625" style="2" customWidth="1"/>
    <col min="20" max="20" width="72.140625" style="2" customWidth="1"/>
    <col min="21" max="21" width="92.140625" style="2" customWidth="1"/>
    <col min="22" max="22" width="67.140625" style="2" customWidth="1"/>
    <col min="23" max="23" width="62.140625" style="2" customWidth="1"/>
    <col min="24" max="24" width="97.85546875" style="2" customWidth="1"/>
    <col min="25" max="25" width="92.140625" style="2" customWidth="1"/>
    <col min="26" max="26" width="75.7109375" style="2" customWidth="1"/>
    <col min="27" max="29" width="100.7109375" style="2" customWidth="1"/>
    <col min="30" max="30" width="84.28515625" style="2" customWidth="1"/>
    <col min="31" max="33" width="75.7109375" style="2" customWidth="1"/>
    <col min="34" max="34" width="72.85546875" style="2" customWidth="1"/>
    <col min="35" max="35" width="103.5703125" style="2" customWidth="1"/>
    <col min="36" max="36" width="123.28515625" style="2" customWidth="1"/>
    <col min="37" max="37" width="50.42578125" style="2" customWidth="1"/>
    <col min="38" max="38" width="55.7109375" style="2" customWidth="1"/>
    <col min="39" max="39" width="54.42578125" style="2" customWidth="1"/>
    <col min="40" max="40" width="52.5703125" style="2" customWidth="1"/>
    <col min="41" max="41" width="88.28515625" style="2" customWidth="1"/>
    <col min="42" max="42" width="90.7109375" style="2" customWidth="1"/>
    <col min="43" max="43" width="110.85546875" style="2" customWidth="1"/>
    <col min="44" max="44" width="75" style="2" customWidth="1"/>
    <col min="45" max="45" width="96.28515625" style="2" customWidth="1"/>
    <col min="46" max="50" width="87.140625" style="2" customWidth="1"/>
    <col min="51" max="51" width="122.85546875" style="2" customWidth="1"/>
    <col min="52" max="52" width="160.7109375" style="2" customWidth="1"/>
    <col min="53" max="53" width="74.28515625" style="2" customWidth="1"/>
    <col min="54" max="54" width="75" style="2" customWidth="1"/>
    <col min="55" max="55" width="70" style="2" customWidth="1"/>
    <col min="56" max="56" width="87.5703125" style="2" customWidth="1"/>
    <col min="57" max="57" width="112.5703125" style="2" customWidth="1"/>
    <col min="58" max="58" width="104.7109375" style="2" customWidth="1"/>
    <col min="59" max="59" width="74.140625" style="2" customWidth="1"/>
    <col min="60" max="60" width="72" style="2" customWidth="1"/>
    <col min="61" max="61" width="133.42578125" style="2" customWidth="1"/>
    <col min="62" max="62" width="109.85546875" style="2" customWidth="1"/>
    <col min="63" max="63" width="108.42578125" style="2" customWidth="1"/>
    <col min="64" max="64" width="103.42578125" style="2" customWidth="1"/>
    <col min="65" max="65" width="75.5703125" style="2" customWidth="1"/>
    <col min="66" max="66" width="79.85546875" style="2" customWidth="1"/>
    <col min="67" max="67" width="91.28515625" style="2" customWidth="1"/>
    <col min="68" max="68" width="89.140625" style="2" customWidth="1"/>
    <col min="69" max="69" width="56.28515625" style="2" customWidth="1"/>
    <col min="70" max="70" width="113.42578125" style="2" customWidth="1"/>
    <col min="71" max="71" width="83.42578125" style="2" customWidth="1"/>
    <col min="72" max="72" width="87" style="2" customWidth="1"/>
    <col min="73" max="16384" width="9.140625" style="2"/>
  </cols>
  <sheetData>
    <row r="1" spans="1:73" ht="70.5" x14ac:dyDescent="0.95">
      <c r="A1" s="1"/>
      <c r="B1" s="1"/>
      <c r="C1" s="55"/>
      <c r="D1" s="55"/>
      <c r="E1" s="26"/>
      <c r="F1" s="106" t="s">
        <v>267</v>
      </c>
      <c r="G1" s="106"/>
      <c r="H1" s="35"/>
      <c r="I1" s="35"/>
      <c r="J1" s="35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L1" s="39"/>
      <c r="AP1" s="39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73" ht="69" customHeight="1" x14ac:dyDescent="0.95">
      <c r="A2" s="1"/>
      <c r="B2" s="1"/>
      <c r="C2" s="55"/>
      <c r="D2" s="55"/>
      <c r="E2" s="26"/>
      <c r="F2" s="106" t="s">
        <v>308</v>
      </c>
      <c r="G2" s="106"/>
      <c r="H2" s="26"/>
      <c r="I2" s="26"/>
      <c r="J2" s="59"/>
      <c r="K2" s="59"/>
      <c r="L2" s="59"/>
      <c r="M2" s="59"/>
      <c r="N2" s="5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59"/>
      <c r="AB2" s="59"/>
      <c r="AC2" s="59"/>
      <c r="AD2" s="39"/>
      <c r="AE2" s="39"/>
      <c r="AF2" s="39"/>
      <c r="AG2" s="39"/>
      <c r="AH2" s="39"/>
      <c r="AI2" s="39"/>
      <c r="AL2" s="39"/>
      <c r="AP2" s="39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73" ht="69" customHeight="1" x14ac:dyDescent="0.95">
      <c r="A3" s="1"/>
      <c r="B3" s="1"/>
      <c r="C3" s="75" t="s">
        <v>309</v>
      </c>
      <c r="D3" s="75"/>
      <c r="E3" s="75"/>
      <c r="F3" s="75"/>
      <c r="G3" s="75"/>
      <c r="H3" s="26"/>
      <c r="I3" s="26"/>
      <c r="J3" s="59"/>
      <c r="K3" s="59"/>
      <c r="L3" s="59"/>
      <c r="M3" s="59"/>
      <c r="N3" s="5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59"/>
      <c r="AB3" s="59"/>
      <c r="AC3" s="59"/>
      <c r="AD3" s="39"/>
      <c r="AE3" s="39"/>
      <c r="AF3" s="39"/>
      <c r="AG3" s="39"/>
      <c r="AH3" s="39"/>
      <c r="AI3" s="39"/>
      <c r="AL3" s="39"/>
      <c r="AP3" s="39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S3" s="47"/>
    </row>
    <row r="4" spans="1:73" ht="45" customHeight="1" x14ac:dyDescent="0.95">
      <c r="A4" s="6"/>
      <c r="C4" s="108" t="s">
        <v>0</v>
      </c>
      <c r="D4" s="108"/>
      <c r="E4" s="108"/>
      <c r="F4" s="108"/>
      <c r="G4" s="108"/>
      <c r="H4" s="60"/>
      <c r="I4" s="60"/>
      <c r="J4" s="60"/>
      <c r="K4" s="60"/>
      <c r="L4" s="60"/>
      <c r="M4" s="66" t="s">
        <v>0</v>
      </c>
      <c r="N4" s="73"/>
      <c r="O4" s="44"/>
      <c r="P4" s="35"/>
      <c r="Q4" s="35"/>
      <c r="R4" s="46" t="s">
        <v>0</v>
      </c>
      <c r="S4" s="35"/>
      <c r="T4" s="35"/>
      <c r="U4" s="35"/>
      <c r="V4" s="35"/>
      <c r="W4" s="35"/>
      <c r="X4" s="35"/>
      <c r="Y4" s="35"/>
      <c r="Z4" s="46" t="s">
        <v>0</v>
      </c>
      <c r="AA4" s="66"/>
      <c r="AB4" s="66"/>
      <c r="AC4" s="66"/>
      <c r="AD4" s="46"/>
      <c r="AE4" s="46"/>
      <c r="AF4" s="46"/>
      <c r="AG4" s="46" t="s">
        <v>0</v>
      </c>
      <c r="AH4" s="35"/>
      <c r="AI4" s="35"/>
      <c r="AJ4" s="7"/>
      <c r="AK4" s="7"/>
      <c r="AL4" s="35"/>
      <c r="AM4" s="7"/>
      <c r="AN4" s="7"/>
      <c r="AO4" s="7"/>
      <c r="AP4" s="46" t="s">
        <v>0</v>
      </c>
      <c r="AQ4" s="5"/>
      <c r="AR4" s="5"/>
      <c r="AS4" s="5"/>
      <c r="AT4" s="5"/>
      <c r="AU4" s="5"/>
      <c r="AW4" s="5"/>
      <c r="AX4" s="47" t="s">
        <v>0</v>
      </c>
      <c r="AY4" s="5"/>
      <c r="AZ4" s="5"/>
      <c r="BA4" s="5"/>
      <c r="BB4" s="5"/>
      <c r="BC4" s="47"/>
      <c r="BD4" s="47" t="s">
        <v>0</v>
      </c>
      <c r="BE4" s="4"/>
      <c r="BF4" s="4"/>
      <c r="BK4" s="47" t="s">
        <v>0</v>
      </c>
      <c r="BS4" s="47" t="s">
        <v>0</v>
      </c>
    </row>
    <row r="5" spans="1:73" s="9" customFormat="1" ht="81" hidden="1" customHeight="1" x14ac:dyDescent="1">
      <c r="A5" s="8"/>
      <c r="B5" s="8"/>
      <c r="C5" s="56"/>
      <c r="D5" s="56"/>
      <c r="E5" s="57"/>
      <c r="F5" s="56"/>
      <c r="G5" s="58"/>
      <c r="H5" s="61"/>
      <c r="I5" s="56"/>
      <c r="J5" s="62"/>
      <c r="K5" s="56" t="s">
        <v>0</v>
      </c>
      <c r="L5" s="56"/>
      <c r="M5" s="58"/>
      <c r="N5" s="8"/>
      <c r="O5" s="8"/>
      <c r="P5" s="8"/>
      <c r="Q5" s="8"/>
      <c r="R5" s="8"/>
      <c r="Z5" s="8" t="s">
        <v>0</v>
      </c>
      <c r="AA5" s="56"/>
      <c r="AB5" s="56"/>
      <c r="AC5" s="56"/>
      <c r="AD5" s="8"/>
      <c r="AE5" s="8"/>
      <c r="AF5" s="8"/>
      <c r="AG5" s="8"/>
      <c r="AH5" s="8"/>
      <c r="AJ5" s="8"/>
      <c r="AK5" s="8"/>
      <c r="AM5" s="8"/>
      <c r="AN5" s="8"/>
      <c r="AO5" s="8"/>
      <c r="AP5" s="8" t="s">
        <v>0</v>
      </c>
      <c r="AQ5" s="8"/>
      <c r="AS5" s="8" t="s">
        <v>0</v>
      </c>
      <c r="AY5" s="8"/>
      <c r="AZ5" s="8"/>
      <c r="BA5" s="8"/>
      <c r="BB5" s="8"/>
      <c r="BC5" s="8"/>
      <c r="BD5" s="8" t="s">
        <v>0</v>
      </c>
      <c r="BE5" s="8"/>
      <c r="BF5" s="8"/>
      <c r="BS5" s="8" t="s">
        <v>0</v>
      </c>
    </row>
    <row r="6" spans="1:73" s="10" customFormat="1" ht="202.5" customHeight="1" x14ac:dyDescent="0.2">
      <c r="A6" s="76" t="s">
        <v>1</v>
      </c>
      <c r="B6" s="76" t="s">
        <v>48</v>
      </c>
      <c r="C6" s="48" t="s">
        <v>2</v>
      </c>
      <c r="D6" s="91" t="s">
        <v>81</v>
      </c>
      <c r="E6" s="91"/>
      <c r="F6" s="91"/>
      <c r="G6" s="92"/>
      <c r="H6" s="90" t="s">
        <v>81</v>
      </c>
      <c r="I6" s="91"/>
      <c r="J6" s="91"/>
      <c r="K6" s="91"/>
      <c r="L6" s="91"/>
      <c r="M6" s="92"/>
      <c r="N6" s="76" t="s">
        <v>81</v>
      </c>
      <c r="O6" s="76"/>
      <c r="P6" s="76"/>
      <c r="Q6" s="76"/>
      <c r="R6" s="76"/>
      <c r="S6" s="76" t="s">
        <v>81</v>
      </c>
      <c r="T6" s="76"/>
      <c r="U6" s="76"/>
      <c r="V6" s="76"/>
      <c r="W6" s="76"/>
      <c r="X6" s="76"/>
      <c r="Y6" s="76"/>
      <c r="Z6" s="76"/>
      <c r="AA6" s="90" t="s">
        <v>81</v>
      </c>
      <c r="AB6" s="91"/>
      <c r="AC6" s="91"/>
      <c r="AD6" s="91"/>
      <c r="AE6" s="91"/>
      <c r="AF6" s="91"/>
      <c r="AG6" s="92"/>
      <c r="AH6" s="76" t="s">
        <v>2</v>
      </c>
      <c r="AI6" s="76"/>
      <c r="AJ6" s="76"/>
      <c r="AK6" s="76"/>
      <c r="AL6" s="76"/>
      <c r="AM6" s="76"/>
      <c r="AN6" s="76"/>
      <c r="AO6" s="76"/>
      <c r="AP6" s="76"/>
      <c r="AQ6" s="76" t="s">
        <v>47</v>
      </c>
      <c r="AR6" s="76"/>
      <c r="AS6" s="76"/>
      <c r="AT6" s="76"/>
      <c r="AU6" s="76"/>
      <c r="AV6" s="76"/>
      <c r="AW6" s="76"/>
      <c r="AX6" s="76"/>
      <c r="AY6" s="92" t="s">
        <v>47</v>
      </c>
      <c r="AZ6" s="76"/>
      <c r="BA6" s="76"/>
      <c r="BB6" s="76"/>
      <c r="BC6" s="76"/>
      <c r="BD6" s="76" t="s">
        <v>3</v>
      </c>
      <c r="BE6" s="76" t="s">
        <v>264</v>
      </c>
      <c r="BF6" s="76"/>
      <c r="BG6" s="76"/>
      <c r="BH6" s="76"/>
      <c r="BI6" s="76"/>
      <c r="BJ6" s="76"/>
      <c r="BK6" s="76"/>
      <c r="BL6" s="90" t="s">
        <v>264</v>
      </c>
      <c r="BM6" s="91"/>
      <c r="BN6" s="91"/>
      <c r="BO6" s="91"/>
      <c r="BP6" s="91"/>
      <c r="BQ6" s="91"/>
      <c r="BR6" s="92"/>
      <c r="BS6" s="85" t="s">
        <v>3</v>
      </c>
      <c r="BT6" s="41"/>
      <c r="BU6" s="40"/>
    </row>
    <row r="7" spans="1:73" s="10" customFormat="1" ht="80.25" customHeight="1" x14ac:dyDescent="0.2">
      <c r="A7" s="76"/>
      <c r="B7" s="76"/>
      <c r="C7" s="90" t="s">
        <v>4</v>
      </c>
      <c r="D7" s="91"/>
      <c r="E7" s="91"/>
      <c r="F7" s="91"/>
      <c r="G7" s="92"/>
      <c r="H7" s="90" t="s">
        <v>4</v>
      </c>
      <c r="I7" s="91"/>
      <c r="J7" s="91"/>
      <c r="K7" s="91"/>
      <c r="L7" s="91"/>
      <c r="M7" s="92"/>
      <c r="N7" s="76" t="s">
        <v>4</v>
      </c>
      <c r="O7" s="76"/>
      <c r="P7" s="76"/>
      <c r="Q7" s="76"/>
      <c r="R7" s="43" t="s">
        <v>5</v>
      </c>
      <c r="S7" s="42"/>
      <c r="T7" s="43" t="s">
        <v>4</v>
      </c>
      <c r="U7" s="76" t="s">
        <v>5</v>
      </c>
      <c r="V7" s="76"/>
      <c r="W7" s="76"/>
      <c r="X7" s="76"/>
      <c r="Y7" s="76"/>
      <c r="Z7" s="76"/>
      <c r="AA7" s="90" t="s">
        <v>4</v>
      </c>
      <c r="AB7" s="91"/>
      <c r="AC7" s="91"/>
      <c r="AD7" s="91"/>
      <c r="AE7" s="91"/>
      <c r="AF7" s="91"/>
      <c r="AG7" s="92"/>
      <c r="AH7" s="76" t="s">
        <v>4</v>
      </c>
      <c r="AI7" s="76"/>
      <c r="AJ7" s="76"/>
      <c r="AK7" s="76"/>
      <c r="AL7" s="76" t="s">
        <v>5</v>
      </c>
      <c r="AM7" s="76"/>
      <c r="AN7" s="76"/>
      <c r="AO7" s="76"/>
      <c r="AP7" s="76"/>
      <c r="AQ7" s="119" t="s">
        <v>4</v>
      </c>
      <c r="AR7" s="120"/>
      <c r="AS7" s="120"/>
      <c r="AT7" s="120"/>
      <c r="AU7" s="120"/>
      <c r="AV7" s="120"/>
      <c r="AW7" s="120"/>
      <c r="AX7" s="121"/>
      <c r="AY7" s="54" t="s">
        <v>4</v>
      </c>
      <c r="AZ7" s="90" t="s">
        <v>5</v>
      </c>
      <c r="BA7" s="91"/>
      <c r="BB7" s="91"/>
      <c r="BC7" s="92"/>
      <c r="BD7" s="76"/>
      <c r="BE7" s="76" t="s">
        <v>4</v>
      </c>
      <c r="BF7" s="76"/>
      <c r="BG7" s="76"/>
      <c r="BH7" s="76" t="s">
        <v>5</v>
      </c>
      <c r="BI7" s="76"/>
      <c r="BJ7" s="76" t="s">
        <v>4</v>
      </c>
      <c r="BK7" s="76"/>
      <c r="BL7" s="90" t="s">
        <v>4</v>
      </c>
      <c r="BM7" s="91"/>
      <c r="BN7" s="92"/>
      <c r="BO7" s="90" t="s">
        <v>5</v>
      </c>
      <c r="BP7" s="91"/>
      <c r="BQ7" s="91"/>
      <c r="BR7" s="92"/>
      <c r="BS7" s="85"/>
      <c r="BT7" s="42"/>
      <c r="BU7" s="40"/>
    </row>
    <row r="8" spans="1:73" s="10" customFormat="1" ht="68.25" customHeight="1" x14ac:dyDescent="0.8">
      <c r="A8" s="76"/>
      <c r="B8" s="76"/>
      <c r="C8" s="27"/>
      <c r="D8" s="53"/>
      <c r="E8" s="77" t="s">
        <v>6</v>
      </c>
      <c r="F8" s="82"/>
      <c r="G8" s="78"/>
      <c r="H8" s="63" t="s">
        <v>6</v>
      </c>
      <c r="I8" s="95" t="s">
        <v>87</v>
      </c>
      <c r="J8" s="82"/>
      <c r="K8" s="82"/>
      <c r="L8" s="82"/>
      <c r="M8" s="78"/>
      <c r="N8" s="93" t="s">
        <v>87</v>
      </c>
      <c r="O8" s="93"/>
      <c r="P8" s="93"/>
      <c r="Q8" s="93"/>
      <c r="R8" s="93"/>
      <c r="S8" s="93" t="s">
        <v>87</v>
      </c>
      <c r="T8" s="93"/>
      <c r="U8" s="93"/>
      <c r="V8" s="93"/>
      <c r="W8" s="93"/>
      <c r="X8" s="93"/>
      <c r="Y8" s="93"/>
      <c r="Z8" s="93"/>
      <c r="AA8" s="77" t="s">
        <v>87</v>
      </c>
      <c r="AB8" s="82"/>
      <c r="AC8" s="82"/>
      <c r="AD8" s="82"/>
      <c r="AE8" s="82"/>
      <c r="AF8" s="82"/>
      <c r="AG8" s="78"/>
      <c r="AH8" s="93" t="s">
        <v>249</v>
      </c>
      <c r="AI8" s="93"/>
      <c r="AJ8" s="93"/>
      <c r="AK8" s="93"/>
      <c r="AL8" s="93"/>
      <c r="AM8" s="93"/>
      <c r="AN8" s="93"/>
      <c r="AO8" s="93"/>
      <c r="AP8" s="93"/>
      <c r="AQ8" s="32"/>
      <c r="AR8" s="77" t="s">
        <v>7</v>
      </c>
      <c r="AS8" s="82"/>
      <c r="AT8" s="82"/>
      <c r="AU8" s="82"/>
      <c r="AV8" s="82"/>
      <c r="AW8" s="82"/>
      <c r="AX8" s="78"/>
      <c r="AY8" s="82" t="s">
        <v>7</v>
      </c>
      <c r="AZ8" s="82"/>
      <c r="BA8" s="82"/>
      <c r="BB8" s="82"/>
      <c r="BC8" s="78"/>
      <c r="BD8" s="76"/>
      <c r="BE8" s="83" t="s">
        <v>87</v>
      </c>
      <c r="BF8" s="83"/>
      <c r="BG8" s="83"/>
      <c r="BH8" s="83"/>
      <c r="BI8" s="83"/>
      <c r="BJ8" s="83" t="s">
        <v>7</v>
      </c>
      <c r="BK8" s="83"/>
      <c r="BL8" s="115" t="s">
        <v>7</v>
      </c>
      <c r="BM8" s="116"/>
      <c r="BN8" s="116"/>
      <c r="BO8" s="116"/>
      <c r="BP8" s="116"/>
      <c r="BQ8" s="116"/>
      <c r="BR8" s="117"/>
      <c r="BS8" s="85"/>
      <c r="BT8" s="42"/>
      <c r="BU8" s="40"/>
    </row>
    <row r="9" spans="1:73" s="10" customFormat="1" ht="58.5" customHeight="1" x14ac:dyDescent="0.2">
      <c r="A9" s="76"/>
      <c r="B9" s="76"/>
      <c r="C9" s="11" t="s">
        <v>89</v>
      </c>
      <c r="D9" s="11" t="s">
        <v>99</v>
      </c>
      <c r="E9" s="11" t="s">
        <v>90</v>
      </c>
      <c r="F9" s="11" t="s">
        <v>91</v>
      </c>
      <c r="G9" s="11" t="s">
        <v>92</v>
      </c>
      <c r="H9" s="11" t="s">
        <v>93</v>
      </c>
      <c r="I9" s="11" t="s">
        <v>234</v>
      </c>
      <c r="J9" s="77" t="s">
        <v>183</v>
      </c>
      <c r="K9" s="82"/>
      <c r="L9" s="82"/>
      <c r="M9" s="78"/>
      <c r="N9" s="11" t="s">
        <v>228</v>
      </c>
      <c r="O9" s="11" t="s">
        <v>235</v>
      </c>
      <c r="P9" s="11" t="s">
        <v>166</v>
      </c>
      <c r="Q9" s="11" t="s">
        <v>167</v>
      </c>
      <c r="R9" s="11" t="s">
        <v>255</v>
      </c>
      <c r="S9" s="93" t="s">
        <v>206</v>
      </c>
      <c r="T9" s="93"/>
      <c r="U9" s="93"/>
      <c r="V9" s="93"/>
      <c r="W9" s="93"/>
      <c r="X9" s="93"/>
      <c r="Y9" s="93"/>
      <c r="Z9" s="93"/>
      <c r="AA9" s="77" t="s">
        <v>286</v>
      </c>
      <c r="AB9" s="82"/>
      <c r="AC9" s="78"/>
      <c r="AD9" s="77" t="s">
        <v>296</v>
      </c>
      <c r="AE9" s="82"/>
      <c r="AF9" s="82"/>
      <c r="AG9" s="78"/>
      <c r="AH9" s="11" t="s">
        <v>248</v>
      </c>
      <c r="AI9" s="11" t="s">
        <v>188</v>
      </c>
      <c r="AJ9" s="11" t="s">
        <v>252</v>
      </c>
      <c r="AK9" s="77" t="s">
        <v>187</v>
      </c>
      <c r="AL9" s="78"/>
      <c r="AM9" s="93" t="s">
        <v>94</v>
      </c>
      <c r="AN9" s="93"/>
      <c r="AO9" s="93"/>
      <c r="AP9" s="11" t="s">
        <v>188</v>
      </c>
      <c r="AQ9" s="11" t="s">
        <v>232</v>
      </c>
      <c r="AR9" s="77" t="s">
        <v>95</v>
      </c>
      <c r="AS9" s="82"/>
      <c r="AT9" s="78"/>
      <c r="AU9" s="77" t="s">
        <v>239</v>
      </c>
      <c r="AV9" s="82"/>
      <c r="AW9" s="78"/>
      <c r="AX9" s="11" t="s">
        <v>219</v>
      </c>
      <c r="AY9" s="52" t="s">
        <v>96</v>
      </c>
      <c r="AZ9" s="77" t="s">
        <v>95</v>
      </c>
      <c r="BA9" s="78"/>
      <c r="BB9" s="11" t="s">
        <v>219</v>
      </c>
      <c r="BC9" s="11" t="s">
        <v>251</v>
      </c>
      <c r="BD9" s="76"/>
      <c r="BE9" s="11" t="s">
        <v>215</v>
      </c>
      <c r="BF9" s="11" t="s">
        <v>225</v>
      </c>
      <c r="BG9" s="118" t="s">
        <v>202</v>
      </c>
      <c r="BH9" s="118"/>
      <c r="BI9" s="68" t="s">
        <v>191</v>
      </c>
      <c r="BJ9" s="118" t="s">
        <v>195</v>
      </c>
      <c r="BK9" s="118"/>
      <c r="BL9" s="86" t="s">
        <v>195</v>
      </c>
      <c r="BM9" s="87"/>
      <c r="BN9" s="87"/>
      <c r="BO9" s="87"/>
      <c r="BP9" s="87"/>
      <c r="BQ9" s="88"/>
      <c r="BR9" s="67" t="s">
        <v>290</v>
      </c>
      <c r="BS9" s="85"/>
      <c r="BT9" s="42"/>
      <c r="BU9" s="40"/>
    </row>
    <row r="10" spans="1:73" s="51" customFormat="1" ht="63" customHeight="1" x14ac:dyDescent="0.65">
      <c r="A10" s="76"/>
      <c r="B10" s="76"/>
      <c r="C10" s="74" t="s">
        <v>85</v>
      </c>
      <c r="D10" s="79" t="s">
        <v>268</v>
      </c>
      <c r="E10" s="79" t="s">
        <v>269</v>
      </c>
      <c r="F10" s="74" t="s">
        <v>256</v>
      </c>
      <c r="G10" s="74" t="s">
        <v>257</v>
      </c>
      <c r="H10" s="74" t="s">
        <v>270</v>
      </c>
      <c r="I10" s="79" t="s">
        <v>265</v>
      </c>
      <c r="J10" s="74" t="s">
        <v>258</v>
      </c>
      <c r="K10" s="101" t="s">
        <v>263</v>
      </c>
      <c r="L10" s="102"/>
      <c r="M10" s="103"/>
      <c r="N10" s="74" t="s">
        <v>216</v>
      </c>
      <c r="O10" s="74" t="s">
        <v>236</v>
      </c>
      <c r="P10" s="74" t="s">
        <v>259</v>
      </c>
      <c r="Q10" s="74" t="s">
        <v>260</v>
      </c>
      <c r="R10" s="107" t="s">
        <v>272</v>
      </c>
      <c r="S10" s="74" t="s">
        <v>307</v>
      </c>
      <c r="T10" s="94" t="s">
        <v>210</v>
      </c>
      <c r="U10" s="94"/>
      <c r="V10" s="94"/>
      <c r="W10" s="94"/>
      <c r="X10" s="94"/>
      <c r="Y10" s="94"/>
      <c r="Z10" s="94"/>
      <c r="AA10" s="79" t="s">
        <v>305</v>
      </c>
      <c r="AB10" s="104" t="s">
        <v>301</v>
      </c>
      <c r="AC10" s="105"/>
      <c r="AD10" s="74" t="s">
        <v>306</v>
      </c>
      <c r="AE10" s="96" t="s">
        <v>297</v>
      </c>
      <c r="AF10" s="97"/>
      <c r="AG10" s="98"/>
      <c r="AH10" s="74" t="s">
        <v>274</v>
      </c>
      <c r="AI10" s="74" t="s">
        <v>190</v>
      </c>
      <c r="AJ10" s="74" t="s">
        <v>275</v>
      </c>
      <c r="AK10" s="109" t="s">
        <v>189</v>
      </c>
      <c r="AL10" s="110"/>
      <c r="AM10" s="74" t="s">
        <v>100</v>
      </c>
      <c r="AN10" s="74" t="s">
        <v>8</v>
      </c>
      <c r="AO10" s="48" t="s">
        <v>186</v>
      </c>
      <c r="AP10" s="74" t="s">
        <v>276</v>
      </c>
      <c r="AQ10" s="79" t="s">
        <v>233</v>
      </c>
      <c r="AR10" s="74" t="s">
        <v>168</v>
      </c>
      <c r="AS10" s="74" t="s">
        <v>98</v>
      </c>
      <c r="AT10" s="74" t="s">
        <v>88</v>
      </c>
      <c r="AU10" s="74" t="s">
        <v>209</v>
      </c>
      <c r="AV10" s="79" t="s">
        <v>208</v>
      </c>
      <c r="AW10" s="79" t="s">
        <v>240</v>
      </c>
      <c r="AX10" s="74" t="s">
        <v>277</v>
      </c>
      <c r="AY10" s="74" t="s">
        <v>82</v>
      </c>
      <c r="AZ10" s="74" t="s">
        <v>278</v>
      </c>
      <c r="BA10" s="74" t="s">
        <v>97</v>
      </c>
      <c r="BB10" s="109" t="s">
        <v>279</v>
      </c>
      <c r="BC10" s="110"/>
      <c r="BD10" s="76"/>
      <c r="BE10" s="74" t="s">
        <v>216</v>
      </c>
      <c r="BF10" s="74" t="s">
        <v>280</v>
      </c>
      <c r="BG10" s="74" t="s">
        <v>203</v>
      </c>
      <c r="BH10" s="74"/>
      <c r="BI10" s="74" t="s">
        <v>192</v>
      </c>
      <c r="BJ10" s="74" t="s">
        <v>281</v>
      </c>
      <c r="BK10" s="74" t="s">
        <v>194</v>
      </c>
      <c r="BL10" s="74" t="s">
        <v>282</v>
      </c>
      <c r="BM10" s="79" t="s">
        <v>285</v>
      </c>
      <c r="BN10" s="79" t="s">
        <v>287</v>
      </c>
      <c r="BO10" s="79" t="s">
        <v>283</v>
      </c>
      <c r="BP10" s="74" t="s">
        <v>194</v>
      </c>
      <c r="BQ10" s="79" t="s">
        <v>304</v>
      </c>
      <c r="BR10" s="79" t="s">
        <v>291</v>
      </c>
      <c r="BS10" s="85"/>
      <c r="BT10" s="49"/>
      <c r="BU10" s="50"/>
    </row>
    <row r="11" spans="1:73" s="51" customFormat="1" ht="234.75" customHeight="1" x14ac:dyDescent="0.65">
      <c r="A11" s="76"/>
      <c r="B11" s="76"/>
      <c r="C11" s="74"/>
      <c r="D11" s="80"/>
      <c r="E11" s="80"/>
      <c r="F11" s="74"/>
      <c r="G11" s="74"/>
      <c r="H11" s="74"/>
      <c r="I11" s="80"/>
      <c r="J11" s="74"/>
      <c r="K11" s="74" t="s">
        <v>271</v>
      </c>
      <c r="L11" s="79" t="s">
        <v>253</v>
      </c>
      <c r="M11" s="79" t="s">
        <v>254</v>
      </c>
      <c r="N11" s="74"/>
      <c r="O11" s="74"/>
      <c r="P11" s="74"/>
      <c r="Q11" s="74"/>
      <c r="R11" s="107"/>
      <c r="S11" s="74"/>
      <c r="T11" s="94" t="s">
        <v>207</v>
      </c>
      <c r="U11" s="94" t="s">
        <v>211</v>
      </c>
      <c r="V11" s="94" t="s">
        <v>212</v>
      </c>
      <c r="W11" s="94" t="s">
        <v>213</v>
      </c>
      <c r="X11" s="94" t="s">
        <v>247</v>
      </c>
      <c r="Y11" s="94" t="s">
        <v>214</v>
      </c>
      <c r="Z11" s="94" t="s">
        <v>273</v>
      </c>
      <c r="AA11" s="80"/>
      <c r="AB11" s="94" t="s">
        <v>302</v>
      </c>
      <c r="AC11" s="94" t="s">
        <v>303</v>
      </c>
      <c r="AD11" s="74"/>
      <c r="AE11" s="99" t="s">
        <v>298</v>
      </c>
      <c r="AF11" s="99" t="s">
        <v>299</v>
      </c>
      <c r="AG11" s="99" t="s">
        <v>300</v>
      </c>
      <c r="AH11" s="74"/>
      <c r="AI11" s="74"/>
      <c r="AJ11" s="74"/>
      <c r="AK11" s="111"/>
      <c r="AL11" s="112"/>
      <c r="AM11" s="74"/>
      <c r="AN11" s="74"/>
      <c r="AO11" s="74" t="s">
        <v>250</v>
      </c>
      <c r="AP11" s="74"/>
      <c r="AQ11" s="80"/>
      <c r="AR11" s="74"/>
      <c r="AS11" s="74"/>
      <c r="AT11" s="74"/>
      <c r="AU11" s="74"/>
      <c r="AV11" s="80"/>
      <c r="AW11" s="80"/>
      <c r="AX11" s="74"/>
      <c r="AY11" s="74"/>
      <c r="AZ11" s="74"/>
      <c r="BA11" s="74"/>
      <c r="BB11" s="111"/>
      <c r="BC11" s="112"/>
      <c r="BD11" s="76"/>
      <c r="BE11" s="74"/>
      <c r="BF11" s="74"/>
      <c r="BG11" s="74"/>
      <c r="BH11" s="74"/>
      <c r="BI11" s="74"/>
      <c r="BJ11" s="74"/>
      <c r="BK11" s="74"/>
      <c r="BL11" s="74"/>
      <c r="BM11" s="80"/>
      <c r="BN11" s="80"/>
      <c r="BO11" s="80"/>
      <c r="BP11" s="74"/>
      <c r="BQ11" s="80"/>
      <c r="BR11" s="80"/>
      <c r="BS11" s="85"/>
      <c r="BT11" s="49"/>
      <c r="BU11" s="50"/>
    </row>
    <row r="12" spans="1:73" s="23" customFormat="1" ht="143.25" customHeight="1" x14ac:dyDescent="0.65">
      <c r="A12" s="76"/>
      <c r="B12" s="76"/>
      <c r="C12" s="74"/>
      <c r="D12" s="81"/>
      <c r="E12" s="81"/>
      <c r="F12" s="74"/>
      <c r="G12" s="74"/>
      <c r="H12" s="74"/>
      <c r="I12" s="81"/>
      <c r="J12" s="74"/>
      <c r="K12" s="74"/>
      <c r="L12" s="81"/>
      <c r="M12" s="81"/>
      <c r="N12" s="74"/>
      <c r="O12" s="74"/>
      <c r="P12" s="74"/>
      <c r="Q12" s="74"/>
      <c r="R12" s="107"/>
      <c r="S12" s="74"/>
      <c r="T12" s="94"/>
      <c r="U12" s="94"/>
      <c r="V12" s="94"/>
      <c r="W12" s="94"/>
      <c r="X12" s="94"/>
      <c r="Y12" s="94"/>
      <c r="Z12" s="94"/>
      <c r="AA12" s="81"/>
      <c r="AB12" s="94"/>
      <c r="AC12" s="94"/>
      <c r="AD12" s="74"/>
      <c r="AE12" s="100"/>
      <c r="AF12" s="100"/>
      <c r="AG12" s="100"/>
      <c r="AH12" s="74"/>
      <c r="AI12" s="74"/>
      <c r="AJ12" s="74"/>
      <c r="AK12" s="113"/>
      <c r="AL12" s="114"/>
      <c r="AM12" s="74"/>
      <c r="AN12" s="74"/>
      <c r="AO12" s="74"/>
      <c r="AP12" s="74"/>
      <c r="AQ12" s="81"/>
      <c r="AR12" s="74"/>
      <c r="AS12" s="74"/>
      <c r="AT12" s="74"/>
      <c r="AU12" s="74"/>
      <c r="AV12" s="81"/>
      <c r="AW12" s="81"/>
      <c r="AX12" s="74"/>
      <c r="AY12" s="74"/>
      <c r="AZ12" s="74"/>
      <c r="BA12" s="74"/>
      <c r="BB12" s="113"/>
      <c r="BC12" s="114"/>
      <c r="BD12" s="76"/>
      <c r="BE12" s="74"/>
      <c r="BF12" s="74"/>
      <c r="BG12" s="74"/>
      <c r="BH12" s="74"/>
      <c r="BI12" s="74"/>
      <c r="BJ12" s="74"/>
      <c r="BK12" s="74"/>
      <c r="BL12" s="74"/>
      <c r="BM12" s="81"/>
      <c r="BN12" s="81"/>
      <c r="BO12" s="81"/>
      <c r="BP12" s="74"/>
      <c r="BQ12" s="81"/>
      <c r="BR12" s="81"/>
      <c r="BS12" s="85"/>
      <c r="BT12" s="49"/>
    </row>
    <row r="13" spans="1:73" ht="55.5" customHeight="1" x14ac:dyDescent="0.8">
      <c r="A13" s="12" t="s">
        <v>12</v>
      </c>
      <c r="B13" s="13" t="s">
        <v>51</v>
      </c>
      <c r="C13" s="34"/>
      <c r="D13" s="34"/>
      <c r="E13" s="34">
        <v>26483000</v>
      </c>
      <c r="F13" s="34">
        <v>32078700</v>
      </c>
      <c r="G13" s="69">
        <f>5000+465</f>
        <v>5465</v>
      </c>
      <c r="H13" s="33">
        <v>76898</v>
      </c>
      <c r="I13" s="33"/>
      <c r="J13" s="33">
        <f>K13+L13+M13</f>
        <v>0</v>
      </c>
      <c r="K13" s="33"/>
      <c r="L13" s="33"/>
      <c r="M13" s="33"/>
      <c r="N13" s="33">
        <v>572097</v>
      </c>
      <c r="O13" s="33">
        <v>86269</v>
      </c>
      <c r="P13" s="33">
        <v>491667</v>
      </c>
      <c r="Q13" s="33"/>
      <c r="R13" s="33"/>
      <c r="S13" s="33">
        <f>T13+U13+V13+W13+X13+Y13+Z13</f>
        <v>67180</v>
      </c>
      <c r="T13" s="33"/>
      <c r="U13" s="33"/>
      <c r="V13" s="33">
        <f>68740-1560</f>
        <v>67180</v>
      </c>
      <c r="W13" s="33"/>
      <c r="X13" s="33"/>
      <c r="Y13" s="33"/>
      <c r="Z13" s="33"/>
      <c r="AA13" s="33">
        <f>AB13+AC13</f>
        <v>359155</v>
      </c>
      <c r="AB13" s="33">
        <v>153055</v>
      </c>
      <c r="AC13" s="33">
        <v>206100</v>
      </c>
      <c r="AD13" s="33">
        <f>AE13+AF13+AG13</f>
        <v>369911</v>
      </c>
      <c r="AE13" s="33">
        <v>139888</v>
      </c>
      <c r="AF13" s="33">
        <v>174048</v>
      </c>
      <c r="AG13" s="33">
        <v>55975</v>
      </c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>
        <f>500000+30000</f>
        <v>530000</v>
      </c>
      <c r="AS13" s="33"/>
      <c r="AT13" s="33"/>
      <c r="AU13" s="33"/>
      <c r="AV13" s="33">
        <v>900000</v>
      </c>
      <c r="AW13" s="33"/>
      <c r="AX13" s="33"/>
      <c r="AY13" s="33"/>
      <c r="AZ13" s="33"/>
      <c r="BA13" s="33"/>
      <c r="BB13" s="33"/>
      <c r="BC13" s="33"/>
      <c r="BD13" s="33">
        <f t="shared" ref="BD13:BD44" si="0">SUM(C13:BC13)-T13-U13-V13-W13-X13-Y13-Z13-AO13-K13-L13-M13-AE13-AF13-AG13-AB13-AC13</f>
        <v>62020342</v>
      </c>
      <c r="BE13" s="33"/>
      <c r="BF13" s="33"/>
      <c r="BG13" s="33"/>
      <c r="BH13" s="33"/>
      <c r="BI13" s="33"/>
      <c r="BJ13" s="33"/>
      <c r="BK13" s="33">
        <v>23300</v>
      </c>
      <c r="BL13" s="33"/>
      <c r="BM13" s="33"/>
      <c r="BN13" s="33"/>
      <c r="BO13" s="33"/>
      <c r="BP13" s="33"/>
      <c r="BQ13" s="33"/>
      <c r="BR13" s="33"/>
      <c r="BS13" s="33">
        <f t="shared" ref="BS13:BS44" si="1">SUM(BE13:BR13)</f>
        <v>23300</v>
      </c>
      <c r="BT13" s="33"/>
    </row>
    <row r="14" spans="1:73" ht="55.5" customHeight="1" x14ac:dyDescent="0.8">
      <c r="A14" s="12" t="s">
        <v>13</v>
      </c>
      <c r="B14" s="13" t="s">
        <v>86</v>
      </c>
      <c r="C14" s="30"/>
      <c r="D14" s="30"/>
      <c r="E14" s="30">
        <v>1077683200</v>
      </c>
      <c r="F14" s="30">
        <v>1103149900</v>
      </c>
      <c r="G14" s="70">
        <f>988300-353965</f>
        <v>634335</v>
      </c>
      <c r="H14" s="29">
        <v>13533570</v>
      </c>
      <c r="I14" s="29">
        <v>1114357</v>
      </c>
      <c r="J14" s="33">
        <f t="shared" ref="J14:J25" si="2">K14+L14+M14</f>
        <v>0</v>
      </c>
      <c r="K14" s="29"/>
      <c r="L14" s="29"/>
      <c r="M14" s="29"/>
      <c r="N14" s="29">
        <v>21031131</v>
      </c>
      <c r="O14" s="29">
        <v>3171362.39</v>
      </c>
      <c r="P14" s="29">
        <v>29318894</v>
      </c>
      <c r="Q14" s="29"/>
      <c r="R14" s="33"/>
      <c r="S14" s="33">
        <f t="shared" ref="S14:S37" si="3">T14+U14+V14+W14+X14+Y14+Z14</f>
        <v>4777316</v>
      </c>
      <c r="T14" s="29"/>
      <c r="U14" s="29"/>
      <c r="V14" s="29">
        <f>1809832-42236</f>
        <v>1767596</v>
      </c>
      <c r="W14" s="29">
        <f>400000</f>
        <v>400000</v>
      </c>
      <c r="X14" s="29">
        <f>1834300</f>
        <v>1834300</v>
      </c>
      <c r="Y14" s="29">
        <f>775420</f>
        <v>775420</v>
      </c>
      <c r="Z14" s="29"/>
      <c r="AA14" s="33">
        <f t="shared" ref="AA14:AA77" si="4">AB14+AC14</f>
        <v>6473038</v>
      </c>
      <c r="AB14" s="33">
        <v>6060838</v>
      </c>
      <c r="AC14" s="33">
        <v>412200</v>
      </c>
      <c r="AD14" s="33">
        <f t="shared" ref="AD14:AD77" si="5">AE14+AF14+AG14</f>
        <v>16335603</v>
      </c>
      <c r="AE14" s="29">
        <v>6134924</v>
      </c>
      <c r="AF14" s="29">
        <v>8003518</v>
      </c>
      <c r="AG14" s="29">
        <v>2197161</v>
      </c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>
        <f>15920000-130000</f>
        <v>15790000</v>
      </c>
      <c r="AS14" s="29"/>
      <c r="AT14" s="29"/>
      <c r="AU14" s="29"/>
      <c r="AV14" s="29">
        <v>4500000</v>
      </c>
      <c r="AW14" s="29">
        <v>6600000</v>
      </c>
      <c r="AX14" s="29">
        <v>39000</v>
      </c>
      <c r="AY14" s="29"/>
      <c r="AZ14" s="29"/>
      <c r="BA14" s="29"/>
      <c r="BB14" s="33"/>
      <c r="BC14" s="33"/>
      <c r="BD14" s="33">
        <f t="shared" si="0"/>
        <v>2304151706.3899999</v>
      </c>
      <c r="BE14" s="33"/>
      <c r="BF14" s="33"/>
      <c r="BG14" s="29"/>
      <c r="BH14" s="29"/>
      <c r="BI14" s="29"/>
      <c r="BJ14" s="29"/>
      <c r="BK14" s="29"/>
      <c r="BL14" s="29">
        <v>2150000</v>
      </c>
      <c r="BM14" s="29"/>
      <c r="BN14" s="29"/>
      <c r="BO14" s="29">
        <f>98000+623600+100000+75000</f>
        <v>896600</v>
      </c>
      <c r="BP14" s="29">
        <f>2105760-1102760</f>
        <v>1003000</v>
      </c>
      <c r="BQ14" s="33">
        <v>14500000</v>
      </c>
      <c r="BR14" s="33"/>
      <c r="BS14" s="33">
        <f t="shared" si="1"/>
        <v>18549600</v>
      </c>
      <c r="BT14" s="29"/>
    </row>
    <row r="15" spans="1:73" ht="51.75" customHeight="1" x14ac:dyDescent="0.8">
      <c r="A15" s="12" t="s">
        <v>14</v>
      </c>
      <c r="B15" s="13" t="s">
        <v>165</v>
      </c>
      <c r="C15" s="30"/>
      <c r="D15" s="30"/>
      <c r="E15" s="30">
        <v>294371600</v>
      </c>
      <c r="F15" s="30">
        <v>452858700</v>
      </c>
      <c r="G15" s="70">
        <f>334800-27900</f>
        <v>306900</v>
      </c>
      <c r="H15" s="29">
        <v>9371121</v>
      </c>
      <c r="I15" s="29"/>
      <c r="J15" s="33">
        <f t="shared" si="2"/>
        <v>0</v>
      </c>
      <c r="K15" s="29"/>
      <c r="L15" s="29"/>
      <c r="M15" s="29"/>
      <c r="N15" s="29">
        <v>5889997</v>
      </c>
      <c r="O15" s="29">
        <v>888177</v>
      </c>
      <c r="P15" s="29">
        <v>6966835</v>
      </c>
      <c r="Q15" s="29"/>
      <c r="R15" s="33"/>
      <c r="S15" s="33">
        <f t="shared" si="3"/>
        <v>11451123</v>
      </c>
      <c r="T15" s="29">
        <f>10000000</f>
        <v>10000000</v>
      </c>
      <c r="U15" s="29"/>
      <c r="V15" s="29">
        <f>781918-17745</f>
        <v>764173</v>
      </c>
      <c r="W15" s="29">
        <f>400000</f>
        <v>400000</v>
      </c>
      <c r="X15" s="29">
        <f>122285</f>
        <v>122285</v>
      </c>
      <c r="Y15" s="29">
        <f>164665</f>
        <v>164665</v>
      </c>
      <c r="Z15" s="29"/>
      <c r="AA15" s="33">
        <f t="shared" si="4"/>
        <v>2262817</v>
      </c>
      <c r="AB15" s="33">
        <v>1438717</v>
      </c>
      <c r="AC15" s="33">
        <v>824100</v>
      </c>
      <c r="AD15" s="33">
        <f t="shared" si="5"/>
        <v>3725722</v>
      </c>
      <c r="AE15" s="29">
        <v>1591226</v>
      </c>
      <c r="AF15" s="29">
        <v>1994559</v>
      </c>
      <c r="AG15" s="29">
        <v>139937</v>
      </c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>
        <v>1020000</v>
      </c>
      <c r="AS15" s="29"/>
      <c r="AT15" s="29"/>
      <c r="AU15" s="29">
        <v>1000000</v>
      </c>
      <c r="AV15" s="29"/>
      <c r="AW15" s="29">
        <v>550000</v>
      </c>
      <c r="AX15" s="29"/>
      <c r="AY15" s="29"/>
      <c r="AZ15" s="29"/>
      <c r="BA15" s="29"/>
      <c r="BB15" s="33"/>
      <c r="BC15" s="33"/>
      <c r="BD15" s="33">
        <f t="shared" si="0"/>
        <v>790662992</v>
      </c>
      <c r="BE15" s="33"/>
      <c r="BF15" s="33"/>
      <c r="BG15" s="29"/>
      <c r="BH15" s="29">
        <f>2000000-2000000</f>
        <v>0</v>
      </c>
      <c r="BI15" s="29">
        <f>20000000-20000000</f>
        <v>0</v>
      </c>
      <c r="BJ15" s="29"/>
      <c r="BK15" s="29"/>
      <c r="BL15" s="29"/>
      <c r="BM15" s="29"/>
      <c r="BN15" s="29"/>
      <c r="BO15" s="29"/>
      <c r="BP15" s="29"/>
      <c r="BQ15" s="33"/>
      <c r="BR15" s="33"/>
      <c r="BS15" s="33">
        <f t="shared" si="1"/>
        <v>0</v>
      </c>
      <c r="BT15" s="29"/>
    </row>
    <row r="16" spans="1:73" ht="59.25" customHeight="1" x14ac:dyDescent="0.8">
      <c r="A16" s="12" t="s">
        <v>15</v>
      </c>
      <c r="B16" s="13" t="s">
        <v>52</v>
      </c>
      <c r="C16" s="30"/>
      <c r="D16" s="30"/>
      <c r="E16" s="30">
        <v>71934400</v>
      </c>
      <c r="F16" s="30">
        <v>135723000</v>
      </c>
      <c r="G16" s="70">
        <f>1224300-283400</f>
        <v>940900</v>
      </c>
      <c r="H16" s="29">
        <v>2023634</v>
      </c>
      <c r="I16" s="29"/>
      <c r="J16" s="33">
        <f t="shared" si="2"/>
        <v>0</v>
      </c>
      <c r="K16" s="29"/>
      <c r="L16" s="29"/>
      <c r="M16" s="29"/>
      <c r="N16" s="29">
        <v>945910</v>
      </c>
      <c r="O16" s="29">
        <v>142638</v>
      </c>
      <c r="P16" s="29">
        <v>1358775</v>
      </c>
      <c r="Q16" s="29"/>
      <c r="R16" s="33"/>
      <c r="S16" s="33">
        <f t="shared" si="3"/>
        <v>3784891</v>
      </c>
      <c r="T16" s="29">
        <v>3545041</v>
      </c>
      <c r="U16" s="29"/>
      <c r="V16" s="29">
        <f>120295-2730</f>
        <v>117565</v>
      </c>
      <c r="W16" s="29"/>
      <c r="X16" s="29">
        <f>122285</f>
        <v>122285</v>
      </c>
      <c r="Y16" s="29"/>
      <c r="Z16" s="29"/>
      <c r="AA16" s="33">
        <f t="shared" si="4"/>
        <v>818320</v>
      </c>
      <c r="AB16" s="33">
        <v>612220</v>
      </c>
      <c r="AC16" s="33">
        <v>206100</v>
      </c>
      <c r="AD16" s="33">
        <f t="shared" si="5"/>
        <v>1136355</v>
      </c>
      <c r="AE16" s="29">
        <v>244804</v>
      </c>
      <c r="AF16" s="29">
        <v>289821</v>
      </c>
      <c r="AG16" s="29">
        <v>601730</v>
      </c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>
        <v>550000</v>
      </c>
      <c r="AS16" s="29"/>
      <c r="AT16" s="29"/>
      <c r="AU16" s="29">
        <v>1000000</v>
      </c>
      <c r="AV16" s="29">
        <v>450000</v>
      </c>
      <c r="AW16" s="29">
        <v>550000</v>
      </c>
      <c r="AX16" s="29"/>
      <c r="AY16" s="29"/>
      <c r="AZ16" s="29"/>
      <c r="BA16" s="29"/>
      <c r="BB16" s="33"/>
      <c r="BC16" s="33"/>
      <c r="BD16" s="33">
        <f t="shared" si="0"/>
        <v>221358823</v>
      </c>
      <c r="BE16" s="33"/>
      <c r="BF16" s="33"/>
      <c r="BG16" s="29"/>
      <c r="BH16" s="29"/>
      <c r="BI16" s="29"/>
      <c r="BJ16" s="29"/>
      <c r="BK16" s="29">
        <v>45800</v>
      </c>
      <c r="BL16" s="29"/>
      <c r="BM16" s="29"/>
      <c r="BN16" s="29"/>
      <c r="BO16" s="29"/>
      <c r="BP16" s="29"/>
      <c r="BQ16" s="33"/>
      <c r="BR16" s="33"/>
      <c r="BS16" s="33">
        <f t="shared" si="1"/>
        <v>45800</v>
      </c>
      <c r="BT16" s="29"/>
    </row>
    <row r="17" spans="1:72" ht="66.75" customHeight="1" x14ac:dyDescent="0.8">
      <c r="A17" s="12" t="s">
        <v>16</v>
      </c>
      <c r="B17" s="13" t="s">
        <v>53</v>
      </c>
      <c r="C17" s="30"/>
      <c r="D17" s="30"/>
      <c r="E17" s="30">
        <v>796662400</v>
      </c>
      <c r="F17" s="30">
        <v>1165720000</v>
      </c>
      <c r="G17" s="71">
        <f>2233800-96800</f>
        <v>2137000</v>
      </c>
      <c r="H17" s="29">
        <v>11153950</v>
      </c>
      <c r="I17" s="29"/>
      <c r="J17" s="33">
        <f t="shared" si="2"/>
        <v>0</v>
      </c>
      <c r="K17" s="29"/>
      <c r="L17" s="29"/>
      <c r="M17" s="29"/>
      <c r="N17" s="29">
        <v>12235070</v>
      </c>
      <c r="O17" s="29">
        <v>1844977</v>
      </c>
      <c r="P17" s="29">
        <v>14416060</v>
      </c>
      <c r="Q17" s="29"/>
      <c r="R17" s="33"/>
      <c r="S17" s="33">
        <f t="shared" si="3"/>
        <v>3956733</v>
      </c>
      <c r="T17" s="29"/>
      <c r="U17" s="29"/>
      <c r="V17" s="29">
        <f>2225458-50505</f>
        <v>2174953</v>
      </c>
      <c r="W17" s="29"/>
      <c r="X17" s="29">
        <f>1467420</f>
        <v>1467420</v>
      </c>
      <c r="Y17" s="29">
        <f>314360</f>
        <v>314360</v>
      </c>
      <c r="Z17" s="29"/>
      <c r="AA17" s="33">
        <f t="shared" si="4"/>
        <v>24725511</v>
      </c>
      <c r="AB17" s="33">
        <v>24519411</v>
      </c>
      <c r="AC17" s="33">
        <v>206100</v>
      </c>
      <c r="AD17" s="33">
        <f t="shared" si="5"/>
        <v>11836173</v>
      </c>
      <c r="AE17" s="29">
        <v>4528874</v>
      </c>
      <c r="AF17" s="29">
        <v>5404035</v>
      </c>
      <c r="AG17" s="29">
        <v>1903264</v>
      </c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>
        <f>14750000-1060000</f>
        <v>13690000</v>
      </c>
      <c r="AS17" s="29"/>
      <c r="AT17" s="29"/>
      <c r="AU17" s="29"/>
      <c r="AV17" s="29"/>
      <c r="AW17" s="29"/>
      <c r="AX17" s="29">
        <v>52000</v>
      </c>
      <c r="AY17" s="29"/>
      <c r="AZ17" s="29"/>
      <c r="BA17" s="29"/>
      <c r="BB17" s="33">
        <f>18000000</f>
        <v>18000000</v>
      </c>
      <c r="BC17" s="33">
        <f>25000000-24900000</f>
        <v>100000</v>
      </c>
      <c r="BD17" s="33">
        <f t="shared" si="0"/>
        <v>2076529874</v>
      </c>
      <c r="BE17" s="33"/>
      <c r="BF17" s="33"/>
      <c r="BG17" s="29"/>
      <c r="BH17" s="29"/>
      <c r="BI17" s="29"/>
      <c r="BJ17" s="29">
        <f>73086</f>
        <v>73086</v>
      </c>
      <c r="BK17" s="29"/>
      <c r="BL17" s="29"/>
      <c r="BM17" s="29"/>
      <c r="BN17" s="29">
        <v>4000000</v>
      </c>
      <c r="BO17" s="29"/>
      <c r="BP17" s="29"/>
      <c r="BQ17" s="33"/>
      <c r="BR17" s="33"/>
      <c r="BS17" s="33">
        <f t="shared" si="1"/>
        <v>4073086</v>
      </c>
      <c r="BT17" s="29"/>
    </row>
    <row r="18" spans="1:72" ht="59.25" customHeight="1" x14ac:dyDescent="0.8">
      <c r="A18" s="12" t="s">
        <v>17</v>
      </c>
      <c r="B18" s="13" t="s">
        <v>54</v>
      </c>
      <c r="C18" s="30"/>
      <c r="D18" s="30"/>
      <c r="E18" s="30">
        <v>68964300</v>
      </c>
      <c r="F18" s="30">
        <v>106012100</v>
      </c>
      <c r="G18" s="70">
        <f>162500+62400</f>
        <v>224900</v>
      </c>
      <c r="H18" s="29">
        <f>5284823+1304000</f>
        <v>6588823</v>
      </c>
      <c r="I18" s="29"/>
      <c r="J18" s="33">
        <f t="shared" si="2"/>
        <v>0</v>
      </c>
      <c r="K18" s="29"/>
      <c r="L18" s="29"/>
      <c r="M18" s="29"/>
      <c r="N18" s="29">
        <v>952411</v>
      </c>
      <c r="O18" s="29">
        <v>143618</v>
      </c>
      <c r="P18" s="29">
        <v>1354389</v>
      </c>
      <c r="Q18" s="29"/>
      <c r="R18" s="33"/>
      <c r="S18" s="33">
        <f t="shared" si="3"/>
        <v>7363520</v>
      </c>
      <c r="T18" s="29">
        <v>7090080</v>
      </c>
      <c r="U18" s="29"/>
      <c r="V18" s="29">
        <f>154665-3510</f>
        <v>151155</v>
      </c>
      <c r="W18" s="29"/>
      <c r="X18" s="29">
        <f>122285</f>
        <v>122285</v>
      </c>
      <c r="Y18" s="29"/>
      <c r="Z18" s="29"/>
      <c r="AA18" s="33">
        <f t="shared" si="4"/>
        <v>481599</v>
      </c>
      <c r="AB18" s="33">
        <v>275499</v>
      </c>
      <c r="AC18" s="33">
        <v>206100</v>
      </c>
      <c r="AD18" s="33">
        <f t="shared" si="5"/>
        <v>839308</v>
      </c>
      <c r="AE18" s="29">
        <v>314748</v>
      </c>
      <c r="AF18" s="29">
        <v>370629</v>
      </c>
      <c r="AG18" s="29">
        <v>153931</v>
      </c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>
        <v>1020000</v>
      </c>
      <c r="AS18" s="29"/>
      <c r="AT18" s="29"/>
      <c r="AU18" s="29"/>
      <c r="AV18" s="29"/>
      <c r="AW18" s="29"/>
      <c r="AX18" s="29"/>
      <c r="AY18" s="29"/>
      <c r="AZ18" s="29"/>
      <c r="BA18" s="29"/>
      <c r="BB18" s="33"/>
      <c r="BC18" s="33"/>
      <c r="BD18" s="33">
        <f t="shared" si="0"/>
        <v>193944968</v>
      </c>
      <c r="BE18" s="33"/>
      <c r="BF18" s="33"/>
      <c r="BG18" s="29"/>
      <c r="BH18" s="29">
        <f>1500000+2500000</f>
        <v>4000000</v>
      </c>
      <c r="BI18" s="29"/>
      <c r="BJ18" s="29"/>
      <c r="BK18" s="29"/>
      <c r="BL18" s="29"/>
      <c r="BM18" s="29">
        <v>150000</v>
      </c>
      <c r="BN18" s="29"/>
      <c r="BO18" s="29"/>
      <c r="BP18" s="29">
        <v>25000</v>
      </c>
      <c r="BQ18" s="33"/>
      <c r="BR18" s="33"/>
      <c r="BS18" s="33">
        <f t="shared" si="1"/>
        <v>4175000</v>
      </c>
      <c r="BT18" s="29"/>
    </row>
    <row r="19" spans="1:72" ht="59.25" customHeight="1" x14ac:dyDescent="0.8">
      <c r="A19" s="12" t="s">
        <v>18</v>
      </c>
      <c r="B19" s="13" t="s">
        <v>55</v>
      </c>
      <c r="C19" s="30"/>
      <c r="D19" s="30"/>
      <c r="E19" s="30">
        <v>166620300</v>
      </c>
      <c r="F19" s="30">
        <v>246693200</v>
      </c>
      <c r="G19" s="70">
        <f>182200-71700</f>
        <v>110500</v>
      </c>
      <c r="H19" s="29">
        <v>3898869</v>
      </c>
      <c r="I19" s="29"/>
      <c r="J19" s="33">
        <f t="shared" si="2"/>
        <v>0</v>
      </c>
      <c r="K19" s="29"/>
      <c r="L19" s="29"/>
      <c r="M19" s="29"/>
      <c r="N19" s="29">
        <v>2454165</v>
      </c>
      <c r="O19" s="29">
        <v>370074</v>
      </c>
      <c r="P19" s="29">
        <v>2729470</v>
      </c>
      <c r="Q19" s="29"/>
      <c r="R19" s="33"/>
      <c r="S19" s="33">
        <f t="shared" si="3"/>
        <v>511445</v>
      </c>
      <c r="T19" s="29"/>
      <c r="U19" s="29"/>
      <c r="V19" s="29">
        <f>403848-9165</f>
        <v>394683</v>
      </c>
      <c r="W19" s="29"/>
      <c r="X19" s="29"/>
      <c r="Y19" s="29">
        <f>116762</f>
        <v>116762</v>
      </c>
      <c r="Z19" s="29"/>
      <c r="AA19" s="33">
        <f t="shared" si="4"/>
        <v>2685591</v>
      </c>
      <c r="AB19" s="33">
        <v>2479491</v>
      </c>
      <c r="AC19" s="33">
        <v>206100</v>
      </c>
      <c r="AD19" s="33">
        <f t="shared" si="5"/>
        <v>2188009</v>
      </c>
      <c r="AE19" s="29">
        <v>821842</v>
      </c>
      <c r="AF19" s="29">
        <v>1002330</v>
      </c>
      <c r="AG19" s="29">
        <v>363837</v>
      </c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>
        <f>1700000-10000</f>
        <v>1690000</v>
      </c>
      <c r="AS19" s="29"/>
      <c r="AT19" s="29"/>
      <c r="AU19" s="29">
        <v>1000000</v>
      </c>
      <c r="AV19" s="29"/>
      <c r="AW19" s="29">
        <v>1100000</v>
      </c>
      <c r="AX19" s="29">
        <v>13000</v>
      </c>
      <c r="AY19" s="29"/>
      <c r="AZ19" s="29"/>
      <c r="BA19" s="29"/>
      <c r="BB19" s="33"/>
      <c r="BC19" s="33"/>
      <c r="BD19" s="33">
        <f t="shared" si="0"/>
        <v>432064623</v>
      </c>
      <c r="BE19" s="33"/>
      <c r="BF19" s="33"/>
      <c r="BG19" s="29"/>
      <c r="BH19" s="71">
        <v>1000000</v>
      </c>
      <c r="BI19" s="29">
        <v>12000000</v>
      </c>
      <c r="BJ19" s="29"/>
      <c r="BK19" s="29">
        <f>112600</f>
        <v>112600</v>
      </c>
      <c r="BL19" s="29"/>
      <c r="BM19" s="29"/>
      <c r="BN19" s="29"/>
      <c r="BO19" s="29"/>
      <c r="BP19" s="29"/>
      <c r="BQ19" s="33"/>
      <c r="BR19" s="33"/>
      <c r="BS19" s="33">
        <f t="shared" si="1"/>
        <v>13112600</v>
      </c>
      <c r="BT19" s="29"/>
    </row>
    <row r="20" spans="1:72" ht="55.5" customHeight="1" x14ac:dyDescent="0.8">
      <c r="A20" s="12" t="s">
        <v>19</v>
      </c>
      <c r="B20" s="13" t="s">
        <v>56</v>
      </c>
      <c r="C20" s="30"/>
      <c r="D20" s="30"/>
      <c r="E20" s="30">
        <v>98847600</v>
      </c>
      <c r="F20" s="30">
        <v>151767500</v>
      </c>
      <c r="G20" s="70">
        <f>148400+17000</f>
        <v>165400</v>
      </c>
      <c r="H20" s="29">
        <v>1686435</v>
      </c>
      <c r="I20" s="29"/>
      <c r="J20" s="33">
        <f t="shared" si="2"/>
        <v>0</v>
      </c>
      <c r="K20" s="29"/>
      <c r="L20" s="29"/>
      <c r="M20" s="29"/>
      <c r="N20" s="29">
        <v>1309972</v>
      </c>
      <c r="O20" s="29">
        <v>197536</v>
      </c>
      <c r="P20" s="29">
        <v>1625919</v>
      </c>
      <c r="Q20" s="29"/>
      <c r="R20" s="33"/>
      <c r="S20" s="33">
        <f t="shared" si="3"/>
        <v>399403</v>
      </c>
      <c r="T20" s="29"/>
      <c r="U20" s="29"/>
      <c r="V20" s="29">
        <f>283553-6435</f>
        <v>277118</v>
      </c>
      <c r="W20" s="29"/>
      <c r="X20" s="29">
        <f>122285</f>
        <v>122285</v>
      </c>
      <c r="Y20" s="29"/>
      <c r="Z20" s="29"/>
      <c r="AA20" s="33">
        <f t="shared" si="4"/>
        <v>1185652</v>
      </c>
      <c r="AB20" s="33">
        <v>979552</v>
      </c>
      <c r="AC20" s="33">
        <v>206100</v>
      </c>
      <c r="AD20" s="33">
        <f t="shared" si="5"/>
        <v>1468388</v>
      </c>
      <c r="AE20" s="29">
        <v>577038</v>
      </c>
      <c r="AF20" s="29">
        <v>653457</v>
      </c>
      <c r="AG20" s="29">
        <v>237893</v>
      </c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>
        <f>1100000+200000</f>
        <v>1300000</v>
      </c>
      <c r="AS20" s="29"/>
      <c r="AT20" s="29"/>
      <c r="AU20" s="29"/>
      <c r="AV20" s="29"/>
      <c r="AW20" s="29">
        <v>1100000</v>
      </c>
      <c r="AX20" s="29"/>
      <c r="AY20" s="29"/>
      <c r="AZ20" s="29"/>
      <c r="BA20" s="29"/>
      <c r="BB20" s="33"/>
      <c r="BC20" s="33"/>
      <c r="BD20" s="33">
        <f t="shared" si="0"/>
        <v>261053805</v>
      </c>
      <c r="BE20" s="33"/>
      <c r="BF20" s="33"/>
      <c r="BG20" s="29"/>
      <c r="BH20" s="29"/>
      <c r="BI20" s="29"/>
      <c r="BJ20" s="29"/>
      <c r="BK20" s="29"/>
      <c r="BL20" s="29"/>
      <c r="BM20" s="29"/>
      <c r="BN20" s="29"/>
      <c r="BO20" s="29"/>
      <c r="BP20" s="29">
        <v>70700</v>
      </c>
      <c r="BQ20" s="33"/>
      <c r="BR20" s="33"/>
      <c r="BS20" s="33">
        <f t="shared" si="1"/>
        <v>70700</v>
      </c>
      <c r="BT20" s="29"/>
    </row>
    <row r="21" spans="1:72" ht="59.25" customHeight="1" x14ac:dyDescent="0.8">
      <c r="A21" s="12" t="s">
        <v>20</v>
      </c>
      <c r="B21" s="13" t="s">
        <v>83</v>
      </c>
      <c r="C21" s="30"/>
      <c r="D21" s="30"/>
      <c r="E21" s="30">
        <v>58361900</v>
      </c>
      <c r="F21" s="30">
        <v>83225100</v>
      </c>
      <c r="G21" s="70">
        <f>270100+104700</f>
        <v>374800</v>
      </c>
      <c r="H21" s="29">
        <v>1299180</v>
      </c>
      <c r="I21" s="29"/>
      <c r="J21" s="33">
        <f t="shared" si="2"/>
        <v>0</v>
      </c>
      <c r="K21" s="29"/>
      <c r="L21" s="29"/>
      <c r="M21" s="29"/>
      <c r="N21" s="29">
        <v>799635</v>
      </c>
      <c r="O21" s="29">
        <v>120580</v>
      </c>
      <c r="P21" s="29">
        <v>1386440</v>
      </c>
      <c r="Q21" s="29"/>
      <c r="R21" s="33"/>
      <c r="S21" s="33">
        <f t="shared" si="3"/>
        <v>117565</v>
      </c>
      <c r="T21" s="29"/>
      <c r="U21" s="29"/>
      <c r="V21" s="29">
        <f>120295-2730</f>
        <v>117565</v>
      </c>
      <c r="W21" s="29"/>
      <c r="X21" s="29"/>
      <c r="Y21" s="29"/>
      <c r="Z21" s="29"/>
      <c r="AA21" s="33">
        <f t="shared" si="4"/>
        <v>1430540</v>
      </c>
      <c r="AB21" s="33">
        <v>1224440</v>
      </c>
      <c r="AC21" s="33">
        <v>206100</v>
      </c>
      <c r="AD21" s="33">
        <f t="shared" si="5"/>
        <v>791959</v>
      </c>
      <c r="AE21" s="29">
        <v>244804</v>
      </c>
      <c r="AF21" s="29">
        <v>281274</v>
      </c>
      <c r="AG21" s="29">
        <v>265881</v>
      </c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>
        <v>1050000</v>
      </c>
      <c r="AS21" s="29"/>
      <c r="AT21" s="29"/>
      <c r="AU21" s="29">
        <v>1000000</v>
      </c>
      <c r="AV21" s="29">
        <v>450000</v>
      </c>
      <c r="AW21" s="29">
        <v>550000</v>
      </c>
      <c r="AX21" s="29"/>
      <c r="AY21" s="29"/>
      <c r="AZ21" s="29"/>
      <c r="BA21" s="29"/>
      <c r="BB21" s="33"/>
      <c r="BC21" s="33"/>
      <c r="BD21" s="33">
        <f t="shared" si="0"/>
        <v>150957699</v>
      </c>
      <c r="BE21" s="33"/>
      <c r="BF21" s="33"/>
      <c r="BG21" s="29"/>
      <c r="BH21" s="29"/>
      <c r="BI21" s="29"/>
      <c r="BJ21" s="29"/>
      <c r="BK21" s="29">
        <v>41400</v>
      </c>
      <c r="BL21" s="29"/>
      <c r="BM21" s="29"/>
      <c r="BN21" s="29"/>
      <c r="BO21" s="29"/>
      <c r="BP21" s="29"/>
      <c r="BQ21" s="33"/>
      <c r="BR21" s="33"/>
      <c r="BS21" s="33">
        <f t="shared" si="1"/>
        <v>41400</v>
      </c>
      <c r="BT21" s="29"/>
    </row>
    <row r="22" spans="1:72" ht="66.75" customHeight="1" x14ac:dyDescent="0.8">
      <c r="A22" s="12" t="s">
        <v>21</v>
      </c>
      <c r="B22" s="13" t="s">
        <v>57</v>
      </c>
      <c r="C22" s="30"/>
      <c r="D22" s="30"/>
      <c r="E22" s="30">
        <v>140202400</v>
      </c>
      <c r="F22" s="30">
        <v>211636100</v>
      </c>
      <c r="G22" s="70">
        <f>650100+99400</f>
        <v>749500</v>
      </c>
      <c r="H22" s="29">
        <f>2595485+885000</f>
        <v>3480485</v>
      </c>
      <c r="I22" s="29"/>
      <c r="J22" s="33">
        <f t="shared" si="2"/>
        <v>0</v>
      </c>
      <c r="K22" s="29"/>
      <c r="L22" s="29"/>
      <c r="M22" s="29"/>
      <c r="N22" s="29">
        <v>2584187</v>
      </c>
      <c r="O22" s="29">
        <v>389681</v>
      </c>
      <c r="P22" s="29">
        <v>2578271</v>
      </c>
      <c r="Q22" s="29"/>
      <c r="R22" s="33"/>
      <c r="S22" s="33">
        <f t="shared" si="3"/>
        <v>993568</v>
      </c>
      <c r="T22" s="29"/>
      <c r="U22" s="29"/>
      <c r="V22" s="29">
        <f>378070-8580</f>
        <v>369490</v>
      </c>
      <c r="W22" s="29">
        <f>400000</f>
        <v>400000</v>
      </c>
      <c r="X22" s="29">
        <f>122285</f>
        <v>122285</v>
      </c>
      <c r="Y22" s="29">
        <f>101793</f>
        <v>101793</v>
      </c>
      <c r="Z22" s="29"/>
      <c r="AA22" s="33">
        <f t="shared" si="4"/>
        <v>726487</v>
      </c>
      <c r="AB22" s="33">
        <v>520387</v>
      </c>
      <c r="AC22" s="33">
        <v>206100</v>
      </c>
      <c r="AD22" s="33">
        <f t="shared" si="5"/>
        <v>1786516</v>
      </c>
      <c r="AE22" s="29">
        <v>769384</v>
      </c>
      <c r="AF22" s="29">
        <v>947163</v>
      </c>
      <c r="AG22" s="29">
        <v>69969</v>
      </c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>
        <v>2700000</v>
      </c>
      <c r="AS22" s="29"/>
      <c r="AT22" s="29"/>
      <c r="AU22" s="29">
        <v>1000000</v>
      </c>
      <c r="AV22" s="29"/>
      <c r="AW22" s="29">
        <f>550000</f>
        <v>550000</v>
      </c>
      <c r="AX22" s="29"/>
      <c r="AY22" s="29"/>
      <c r="AZ22" s="29"/>
      <c r="BA22" s="29"/>
      <c r="BB22" s="33"/>
      <c r="BC22" s="33"/>
      <c r="BD22" s="33">
        <f t="shared" si="0"/>
        <v>369377195</v>
      </c>
      <c r="BE22" s="33"/>
      <c r="BF22" s="33"/>
      <c r="BG22" s="29"/>
      <c r="BH22" s="29"/>
      <c r="BI22" s="29"/>
      <c r="BJ22" s="29"/>
      <c r="BK22" s="29">
        <v>106700</v>
      </c>
      <c r="BL22" s="29"/>
      <c r="BM22" s="29"/>
      <c r="BN22" s="29"/>
      <c r="BO22" s="29"/>
      <c r="BP22" s="29"/>
      <c r="BQ22" s="33"/>
      <c r="BR22" s="33"/>
      <c r="BS22" s="33">
        <f t="shared" si="1"/>
        <v>106700</v>
      </c>
      <c r="BT22" s="29"/>
    </row>
    <row r="23" spans="1:72" ht="59.25" customHeight="1" x14ac:dyDescent="0.8">
      <c r="A23" s="12" t="s">
        <v>22</v>
      </c>
      <c r="B23" s="13" t="s">
        <v>58</v>
      </c>
      <c r="C23" s="30"/>
      <c r="D23" s="30"/>
      <c r="E23" s="30">
        <v>30155000</v>
      </c>
      <c r="F23" s="30">
        <v>16588400</v>
      </c>
      <c r="G23" s="30">
        <v>0</v>
      </c>
      <c r="H23" s="29">
        <v>2133924</v>
      </c>
      <c r="I23" s="29"/>
      <c r="J23" s="33">
        <f t="shared" si="2"/>
        <v>0</v>
      </c>
      <c r="K23" s="29"/>
      <c r="L23" s="29"/>
      <c r="M23" s="29"/>
      <c r="N23" s="29">
        <v>559095</v>
      </c>
      <c r="O23" s="29">
        <v>84308</v>
      </c>
      <c r="P23" s="29">
        <v>721981</v>
      </c>
      <c r="Q23" s="29"/>
      <c r="R23" s="33"/>
      <c r="S23" s="33">
        <f t="shared" si="3"/>
        <v>231453</v>
      </c>
      <c r="T23" s="29"/>
      <c r="U23" s="29"/>
      <c r="V23" s="29">
        <f>111703-2535</f>
        <v>109168</v>
      </c>
      <c r="W23" s="29"/>
      <c r="X23" s="29">
        <f>122285</f>
        <v>122285</v>
      </c>
      <c r="Y23" s="29"/>
      <c r="Z23" s="29"/>
      <c r="AA23" s="33">
        <f t="shared" si="4"/>
        <v>665265</v>
      </c>
      <c r="AB23" s="33">
        <v>459165</v>
      </c>
      <c r="AC23" s="33">
        <v>206100</v>
      </c>
      <c r="AD23" s="33">
        <f t="shared" si="5"/>
        <v>609672</v>
      </c>
      <c r="AE23" s="29">
        <v>227318</v>
      </c>
      <c r="AF23" s="29">
        <v>256410</v>
      </c>
      <c r="AG23" s="29">
        <v>125944</v>
      </c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>
        <v>750000</v>
      </c>
      <c r="AS23" s="29"/>
      <c r="AT23" s="29"/>
      <c r="AU23" s="29">
        <v>1000000</v>
      </c>
      <c r="AV23" s="29">
        <v>900000</v>
      </c>
      <c r="AW23" s="29">
        <v>1100000</v>
      </c>
      <c r="AX23" s="29"/>
      <c r="AY23" s="29"/>
      <c r="AZ23" s="29"/>
      <c r="BA23" s="29"/>
      <c r="BB23" s="33"/>
      <c r="BC23" s="33"/>
      <c r="BD23" s="33">
        <f t="shared" si="0"/>
        <v>55499098</v>
      </c>
      <c r="BE23" s="33"/>
      <c r="BF23" s="33"/>
      <c r="BG23" s="29"/>
      <c r="BH23" s="29"/>
      <c r="BI23" s="29"/>
      <c r="BJ23" s="29"/>
      <c r="BK23" s="29">
        <v>28500</v>
      </c>
      <c r="BL23" s="29"/>
      <c r="BM23" s="29"/>
      <c r="BN23" s="29"/>
      <c r="BO23" s="29"/>
      <c r="BP23" s="29"/>
      <c r="BQ23" s="33"/>
      <c r="BR23" s="33"/>
      <c r="BS23" s="33">
        <f t="shared" si="1"/>
        <v>28500</v>
      </c>
      <c r="BT23" s="29"/>
    </row>
    <row r="24" spans="1:72" ht="55.5" customHeight="1" x14ac:dyDescent="0.8">
      <c r="A24" s="12" t="s">
        <v>23</v>
      </c>
      <c r="B24" s="13" t="s">
        <v>59</v>
      </c>
      <c r="C24" s="30"/>
      <c r="D24" s="30"/>
      <c r="E24" s="30">
        <v>45853600</v>
      </c>
      <c r="F24" s="30">
        <v>84260400</v>
      </c>
      <c r="G24" s="70">
        <f>435800-20300</f>
        <v>415500</v>
      </c>
      <c r="H24" s="29">
        <v>1867605</v>
      </c>
      <c r="I24" s="29"/>
      <c r="J24" s="33">
        <f t="shared" si="2"/>
        <v>0</v>
      </c>
      <c r="K24" s="29"/>
      <c r="L24" s="29"/>
      <c r="M24" s="29"/>
      <c r="N24" s="29"/>
      <c r="O24" s="29"/>
      <c r="P24" s="29">
        <v>702357</v>
      </c>
      <c r="Q24" s="29"/>
      <c r="R24" s="33"/>
      <c r="S24" s="33">
        <f t="shared" si="3"/>
        <v>3654209</v>
      </c>
      <c r="T24" s="29">
        <v>3545041</v>
      </c>
      <c r="U24" s="29"/>
      <c r="V24" s="29">
        <f>111703-2535</f>
        <v>109168</v>
      </c>
      <c r="W24" s="29"/>
      <c r="X24" s="29"/>
      <c r="Y24" s="29"/>
      <c r="Z24" s="29"/>
      <c r="AA24" s="33">
        <f t="shared" si="4"/>
        <v>940764</v>
      </c>
      <c r="AB24" s="33">
        <v>734664</v>
      </c>
      <c r="AC24" s="33">
        <v>206100</v>
      </c>
      <c r="AD24" s="33">
        <f t="shared" si="5"/>
        <v>608102</v>
      </c>
      <c r="AE24" s="29">
        <v>227318</v>
      </c>
      <c r="AF24" s="29">
        <v>282828</v>
      </c>
      <c r="AG24" s="29">
        <v>97956</v>
      </c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>
        <v>650000</v>
      </c>
      <c r="AS24" s="29"/>
      <c r="AT24" s="29"/>
      <c r="AU24" s="29"/>
      <c r="AV24" s="29">
        <v>900000</v>
      </c>
      <c r="AW24" s="29">
        <v>1100000</v>
      </c>
      <c r="AX24" s="29"/>
      <c r="AY24" s="29"/>
      <c r="AZ24" s="29"/>
      <c r="BA24" s="29"/>
      <c r="BB24" s="33"/>
      <c r="BC24" s="33"/>
      <c r="BD24" s="33">
        <f t="shared" si="0"/>
        <v>140952537</v>
      </c>
      <c r="BE24" s="33"/>
      <c r="BF24" s="33"/>
      <c r="BG24" s="29"/>
      <c r="BH24" s="29"/>
      <c r="BI24" s="29">
        <f>3000000</f>
        <v>3000000</v>
      </c>
      <c r="BJ24" s="29"/>
      <c r="BK24" s="29"/>
      <c r="BL24" s="29"/>
      <c r="BM24" s="29"/>
      <c r="BN24" s="29"/>
      <c r="BO24" s="29"/>
      <c r="BP24" s="29">
        <f>30800</f>
        <v>30800</v>
      </c>
      <c r="BQ24" s="33"/>
      <c r="BR24" s="33"/>
      <c r="BS24" s="33">
        <f t="shared" si="1"/>
        <v>3030800</v>
      </c>
      <c r="BT24" s="29"/>
    </row>
    <row r="25" spans="1:72" ht="55.5" customHeight="1" x14ac:dyDescent="0.8">
      <c r="A25" s="12" t="s">
        <v>24</v>
      </c>
      <c r="B25" s="13" t="s">
        <v>60</v>
      </c>
      <c r="C25" s="30"/>
      <c r="D25" s="30"/>
      <c r="E25" s="30">
        <v>30485900</v>
      </c>
      <c r="F25" s="30">
        <v>17138200</v>
      </c>
      <c r="G25" s="70">
        <f>239900+13600</f>
        <v>253500</v>
      </c>
      <c r="H25" s="29">
        <v>1953973</v>
      </c>
      <c r="I25" s="29"/>
      <c r="J25" s="33">
        <f t="shared" si="2"/>
        <v>0</v>
      </c>
      <c r="K25" s="29"/>
      <c r="L25" s="29"/>
      <c r="M25" s="29"/>
      <c r="N25" s="29">
        <v>536341</v>
      </c>
      <c r="O25" s="29">
        <v>80877</v>
      </c>
      <c r="P25" s="29">
        <v>1040350</v>
      </c>
      <c r="Q25" s="29"/>
      <c r="R25" s="33"/>
      <c r="S25" s="33">
        <f t="shared" si="3"/>
        <v>223055</v>
      </c>
      <c r="T25" s="29"/>
      <c r="U25" s="29"/>
      <c r="V25" s="29">
        <f>103110-2340</f>
        <v>100770</v>
      </c>
      <c r="W25" s="29"/>
      <c r="X25" s="29">
        <f>122285</f>
        <v>122285</v>
      </c>
      <c r="Y25" s="29"/>
      <c r="Z25" s="29"/>
      <c r="AA25" s="33">
        <f t="shared" si="4"/>
        <v>328544</v>
      </c>
      <c r="AB25" s="33">
        <v>122444</v>
      </c>
      <c r="AC25" s="33">
        <v>206100</v>
      </c>
      <c r="AD25" s="33">
        <f t="shared" si="5"/>
        <v>522225</v>
      </c>
      <c r="AE25" s="29">
        <v>209832</v>
      </c>
      <c r="AF25" s="29">
        <v>242424</v>
      </c>
      <c r="AG25" s="29">
        <v>69969</v>
      </c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>
        <v>550000</v>
      </c>
      <c r="AS25" s="29"/>
      <c r="AT25" s="29"/>
      <c r="AU25" s="29"/>
      <c r="AV25" s="29">
        <v>900000</v>
      </c>
      <c r="AW25" s="29">
        <v>1100000</v>
      </c>
      <c r="AX25" s="29"/>
      <c r="AY25" s="29"/>
      <c r="AZ25" s="29"/>
      <c r="BA25" s="29"/>
      <c r="BB25" s="33"/>
      <c r="BC25" s="33"/>
      <c r="BD25" s="33">
        <f t="shared" si="0"/>
        <v>55112965</v>
      </c>
      <c r="BE25" s="33"/>
      <c r="BF25" s="33"/>
      <c r="BG25" s="29"/>
      <c r="BH25" s="29"/>
      <c r="BI25" s="29"/>
      <c r="BJ25" s="29"/>
      <c r="BK25" s="29">
        <v>28500</v>
      </c>
      <c r="BL25" s="29"/>
      <c r="BM25" s="29"/>
      <c r="BN25" s="29"/>
      <c r="BO25" s="29"/>
      <c r="BP25" s="29"/>
      <c r="BQ25" s="33"/>
      <c r="BR25" s="33"/>
      <c r="BS25" s="33">
        <f t="shared" si="1"/>
        <v>28500</v>
      </c>
      <c r="BT25" s="29"/>
    </row>
    <row r="26" spans="1:72" ht="59.25" customHeight="1" x14ac:dyDescent="0.8">
      <c r="A26" s="12"/>
      <c r="B26" s="13" t="s">
        <v>50</v>
      </c>
      <c r="C26" s="30">
        <f t="shared" ref="C26:I26" si="6">C13+C14+C15+C16+C17+C18+C19+C20+C21+C22+C23+C24+C25</f>
        <v>0</v>
      </c>
      <c r="D26" s="30">
        <v>0</v>
      </c>
      <c r="E26" s="30">
        <f t="shared" si="6"/>
        <v>2906625600</v>
      </c>
      <c r="F26" s="30">
        <f t="shared" si="6"/>
        <v>3806851300</v>
      </c>
      <c r="G26" s="70">
        <f t="shared" si="6"/>
        <v>6318700</v>
      </c>
      <c r="H26" s="30">
        <f t="shared" si="6"/>
        <v>59068467</v>
      </c>
      <c r="I26" s="30">
        <f t="shared" si="6"/>
        <v>1114357</v>
      </c>
      <c r="J26" s="30">
        <f t="shared" ref="J26:Q26" si="7">J13+J14+J15+J16+J17+J18+J19+J20+J21+J22+J23+J24+J25</f>
        <v>0</v>
      </c>
      <c r="K26" s="30">
        <f t="shared" si="7"/>
        <v>0</v>
      </c>
      <c r="L26" s="30">
        <f t="shared" si="7"/>
        <v>0</v>
      </c>
      <c r="M26" s="30">
        <f t="shared" si="7"/>
        <v>0</v>
      </c>
      <c r="N26" s="30">
        <f t="shared" si="7"/>
        <v>49870011</v>
      </c>
      <c r="O26" s="30">
        <f t="shared" si="7"/>
        <v>7520097.3900000006</v>
      </c>
      <c r="P26" s="30">
        <f t="shared" si="7"/>
        <v>64691408</v>
      </c>
      <c r="Q26" s="30">
        <f t="shared" si="7"/>
        <v>0</v>
      </c>
      <c r="R26" s="34"/>
      <c r="S26" s="33">
        <f t="shared" si="3"/>
        <v>37531461</v>
      </c>
      <c r="T26" s="30">
        <f t="shared" ref="T26:AP26" si="8">T13+T14+T15+T16+T17+T18+T19+T20+T21+T22+T23+T24+T25</f>
        <v>24180162</v>
      </c>
      <c r="U26" s="30">
        <f t="shared" si="8"/>
        <v>0</v>
      </c>
      <c r="V26" s="30">
        <f t="shared" si="8"/>
        <v>6520584</v>
      </c>
      <c r="W26" s="30">
        <f t="shared" si="8"/>
        <v>1200000</v>
      </c>
      <c r="X26" s="30">
        <f t="shared" si="8"/>
        <v>4157715</v>
      </c>
      <c r="Y26" s="30">
        <f t="shared" si="8"/>
        <v>1473000</v>
      </c>
      <c r="Z26" s="30">
        <f t="shared" si="8"/>
        <v>0</v>
      </c>
      <c r="AA26" s="33">
        <f t="shared" si="4"/>
        <v>43083283</v>
      </c>
      <c r="AB26" s="34">
        <f>SUM(AB13:AB25)</f>
        <v>39579883</v>
      </c>
      <c r="AC26" s="34">
        <f>SUM(AC13:AC25)</f>
        <v>3503400</v>
      </c>
      <c r="AD26" s="33">
        <f t="shared" si="5"/>
        <v>42217943</v>
      </c>
      <c r="AE26" s="30">
        <f>SUM(AE13:AE25)</f>
        <v>16032000</v>
      </c>
      <c r="AF26" s="30">
        <f>SUM(AF13:AF25)</f>
        <v>19902496</v>
      </c>
      <c r="AG26" s="30">
        <f>SUM(AG13:AG25)</f>
        <v>6283447</v>
      </c>
      <c r="AH26" s="30">
        <f t="shared" si="8"/>
        <v>0</v>
      </c>
      <c r="AI26" s="30">
        <f t="shared" si="8"/>
        <v>0</v>
      </c>
      <c r="AJ26" s="30"/>
      <c r="AK26" s="30"/>
      <c r="AL26" s="30">
        <f t="shared" si="8"/>
        <v>0</v>
      </c>
      <c r="AM26" s="30"/>
      <c r="AN26" s="30">
        <f>AN13+AN14+AN15+AN16+AN17+AN18+AN19+AN20+AN21+AN22+AN23+AN24+AN25</f>
        <v>0</v>
      </c>
      <c r="AO26" s="30">
        <f>AO13+AO14+AO15+AO16+AO17+AO18+AO19+AO20+AO21+AO22+AO23+AO24+AO25</f>
        <v>0</v>
      </c>
      <c r="AP26" s="30">
        <f t="shared" si="8"/>
        <v>0</v>
      </c>
      <c r="AQ26" s="30">
        <f>AQ13+AQ14+AQ15+AQ16+AQ17+AQ18+AQ19+AQ20+AQ21+AQ22+AQ23+AQ24+AQ25</f>
        <v>0</v>
      </c>
      <c r="AR26" s="30">
        <f>AR13+AR14+AR15+AR16+AR17+AR18+AR19+AR20+AR21+AR22+AR23+AR24+AR25</f>
        <v>41290000</v>
      </c>
      <c r="AS26" s="30">
        <f t="shared" ref="AS26:AZ26" si="9">AS13+AS14+AS15+AS16+AS17+AS18+AS19+AS20+AS21+AS22+AS23+AS24+AS25</f>
        <v>0</v>
      </c>
      <c r="AT26" s="30">
        <f t="shared" si="9"/>
        <v>0</v>
      </c>
      <c r="AU26" s="30">
        <f t="shared" si="9"/>
        <v>6000000</v>
      </c>
      <c r="AV26" s="30">
        <f t="shared" si="9"/>
        <v>9000000</v>
      </c>
      <c r="AW26" s="30">
        <f t="shared" si="9"/>
        <v>14300000</v>
      </c>
      <c r="AX26" s="30">
        <f t="shared" si="9"/>
        <v>104000</v>
      </c>
      <c r="AY26" s="30">
        <f t="shared" si="9"/>
        <v>0</v>
      </c>
      <c r="AZ26" s="30">
        <f t="shared" si="9"/>
        <v>0</v>
      </c>
      <c r="BA26" s="30">
        <f>BA13+BA14+BA15+BA16+BA17+BA18+BA19+BA20+BA21+BA22+BA23+BA24+BA25</f>
        <v>0</v>
      </c>
      <c r="BB26" s="30">
        <f>BB13+BB14+BB15+BB16+BB17+BB18+BB19+BB20+BB21+BB22+BB23+BB24+BB25</f>
        <v>18000000</v>
      </c>
      <c r="BC26" s="30">
        <f>BC13+BC14+BC15+BC16+BC17+BC18+BC19+BC20+BC21+BC22+BC23+BC24+BC25</f>
        <v>100000</v>
      </c>
      <c r="BD26" s="33">
        <f t="shared" si="0"/>
        <v>7113686627.3900003</v>
      </c>
      <c r="BE26" s="30">
        <f t="shared" ref="BE26:BR26" si="10">BE13+BE14+BE15+BE16+BE17+BE18+BE19+BE20+BE21+BE22+BE23+BE24+BE25</f>
        <v>0</v>
      </c>
      <c r="BF26" s="30"/>
      <c r="BG26" s="30">
        <f t="shared" si="10"/>
        <v>0</v>
      </c>
      <c r="BH26" s="30">
        <f t="shared" si="10"/>
        <v>5000000</v>
      </c>
      <c r="BI26" s="30">
        <f t="shared" si="10"/>
        <v>15000000</v>
      </c>
      <c r="BJ26" s="30">
        <f t="shared" si="10"/>
        <v>73086</v>
      </c>
      <c r="BK26" s="30">
        <f t="shared" si="10"/>
        <v>386800</v>
      </c>
      <c r="BL26" s="30">
        <f t="shared" si="10"/>
        <v>2150000</v>
      </c>
      <c r="BM26" s="30">
        <f t="shared" si="10"/>
        <v>150000</v>
      </c>
      <c r="BN26" s="30">
        <f t="shared" si="10"/>
        <v>4000000</v>
      </c>
      <c r="BO26" s="30">
        <f t="shared" si="10"/>
        <v>896600</v>
      </c>
      <c r="BP26" s="30">
        <f t="shared" si="10"/>
        <v>1129500</v>
      </c>
      <c r="BQ26" s="30">
        <f t="shared" si="10"/>
        <v>14500000</v>
      </c>
      <c r="BR26" s="30">
        <f t="shared" si="10"/>
        <v>0</v>
      </c>
      <c r="BS26" s="33">
        <f t="shared" si="1"/>
        <v>43285986</v>
      </c>
      <c r="BT26" s="30">
        <f>BT13+BT14+BT15+BT16+BT17+BT18+BT19+BT20+BT21+BT22+BT23+BT24+BT25</f>
        <v>0</v>
      </c>
    </row>
    <row r="27" spans="1:72" ht="63" customHeight="1" x14ac:dyDescent="0.8">
      <c r="A27" s="12" t="s">
        <v>25</v>
      </c>
      <c r="B27" s="13" t="s">
        <v>49</v>
      </c>
      <c r="C27" s="30"/>
      <c r="D27" s="30"/>
      <c r="E27" s="30">
        <v>90782300</v>
      </c>
      <c r="F27" s="30">
        <v>127467300</v>
      </c>
      <c r="G27" s="70">
        <f>2326300+178300</f>
        <v>2504600</v>
      </c>
      <c r="H27" s="29">
        <f>7901641-1404000</f>
        <v>6497641</v>
      </c>
      <c r="I27" s="29"/>
      <c r="J27" s="33">
        <f>K27+L27+M27</f>
        <v>0</v>
      </c>
      <c r="K27" s="29"/>
      <c r="L27" s="29"/>
      <c r="M27" s="29"/>
      <c r="N27" s="29"/>
      <c r="O27" s="29"/>
      <c r="P27" s="29"/>
      <c r="Q27" s="29"/>
      <c r="R27" s="33"/>
      <c r="S27" s="33">
        <f t="shared" si="3"/>
        <v>0</v>
      </c>
      <c r="T27" s="29"/>
      <c r="U27" s="29"/>
      <c r="V27" s="29"/>
      <c r="W27" s="29"/>
      <c r="X27" s="29"/>
      <c r="Y27" s="29"/>
      <c r="Z27" s="29"/>
      <c r="AA27" s="33">
        <f t="shared" si="4"/>
        <v>0</v>
      </c>
      <c r="AB27" s="33"/>
      <c r="AC27" s="33"/>
      <c r="AD27" s="33">
        <f t="shared" si="5"/>
        <v>0</v>
      </c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>
        <v>300000</v>
      </c>
      <c r="AR27" s="29">
        <f>300000-100000</f>
        <v>200000</v>
      </c>
      <c r="AS27" s="29"/>
      <c r="AT27" s="29"/>
      <c r="AU27" s="29"/>
      <c r="AV27" s="29"/>
      <c r="AW27" s="29"/>
      <c r="AX27" s="29"/>
      <c r="AY27" s="29">
        <v>91000</v>
      </c>
      <c r="AZ27" s="29"/>
      <c r="BA27" s="29"/>
      <c r="BB27" s="33"/>
      <c r="BC27" s="33"/>
      <c r="BD27" s="33">
        <f t="shared" si="0"/>
        <v>227842841</v>
      </c>
      <c r="BE27" s="33"/>
      <c r="BF27" s="33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33"/>
      <c r="BR27" s="33"/>
      <c r="BS27" s="33">
        <f t="shared" si="1"/>
        <v>0</v>
      </c>
      <c r="BT27" s="29"/>
    </row>
    <row r="28" spans="1:72" ht="66.75" customHeight="1" x14ac:dyDescent="0.8">
      <c r="A28" s="12" t="s">
        <v>26</v>
      </c>
      <c r="B28" s="13" t="s">
        <v>61</v>
      </c>
      <c r="C28" s="30"/>
      <c r="D28" s="30">
        <v>3470300</v>
      </c>
      <c r="E28" s="30">
        <v>66280700</v>
      </c>
      <c r="F28" s="30">
        <v>71209300</v>
      </c>
      <c r="G28" s="70">
        <f>2186600-148700</f>
        <v>2037900</v>
      </c>
      <c r="H28" s="29">
        <v>2654601</v>
      </c>
      <c r="I28" s="29"/>
      <c r="J28" s="33">
        <f t="shared" ref="J28:J48" si="11">K28+L28+M28</f>
        <v>0</v>
      </c>
      <c r="K28" s="29"/>
      <c r="L28" s="29"/>
      <c r="M28" s="29"/>
      <c r="N28" s="29"/>
      <c r="O28" s="29"/>
      <c r="P28" s="29">
        <v>832696</v>
      </c>
      <c r="Q28" s="29"/>
      <c r="R28" s="33"/>
      <c r="S28" s="33">
        <f t="shared" si="3"/>
        <v>1445309</v>
      </c>
      <c r="T28" s="29"/>
      <c r="U28" s="29">
        <v>1339500</v>
      </c>
      <c r="V28" s="29">
        <f>156384-50575</f>
        <v>105809</v>
      </c>
      <c r="W28" s="29"/>
      <c r="X28" s="29"/>
      <c r="Y28" s="29"/>
      <c r="Z28" s="29"/>
      <c r="AA28" s="33">
        <f t="shared" si="4"/>
        <v>420377</v>
      </c>
      <c r="AB28" s="33">
        <f>275499-61222</f>
        <v>214277</v>
      </c>
      <c r="AC28" s="33">
        <v>206100</v>
      </c>
      <c r="AD28" s="33">
        <f t="shared" si="5"/>
        <v>462158</v>
      </c>
      <c r="AE28" s="29">
        <v>202338</v>
      </c>
      <c r="AF28" s="29">
        <v>115884</v>
      </c>
      <c r="AG28" s="29">
        <v>143936</v>
      </c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>
        <f>250000-10000</f>
        <v>240000</v>
      </c>
      <c r="AS28" s="29"/>
      <c r="AT28" s="29"/>
      <c r="AU28" s="29"/>
      <c r="AV28" s="29"/>
      <c r="AW28" s="29"/>
      <c r="AX28" s="29"/>
      <c r="AY28" s="29">
        <f>91000+14000</f>
        <v>105000</v>
      </c>
      <c r="AZ28" s="29"/>
      <c r="BA28" s="29">
        <v>350000</v>
      </c>
      <c r="BB28" s="33"/>
      <c r="BC28" s="33"/>
      <c r="BD28" s="33">
        <f t="shared" si="0"/>
        <v>149508341</v>
      </c>
      <c r="BE28" s="33"/>
      <c r="BF28" s="33"/>
      <c r="BG28" s="29"/>
      <c r="BH28" s="29"/>
      <c r="BI28" s="29"/>
      <c r="BJ28" s="29"/>
      <c r="BK28" s="29">
        <v>11700</v>
      </c>
      <c r="BL28" s="29"/>
      <c r="BM28" s="29"/>
      <c r="BN28" s="29"/>
      <c r="BO28" s="29"/>
      <c r="BP28" s="29"/>
      <c r="BQ28" s="33"/>
      <c r="BR28" s="33"/>
      <c r="BS28" s="33">
        <f t="shared" si="1"/>
        <v>11700</v>
      </c>
      <c r="BT28" s="29"/>
    </row>
    <row r="29" spans="1:72" ht="63" customHeight="1" x14ac:dyDescent="0.8">
      <c r="A29" s="12" t="s">
        <v>27</v>
      </c>
      <c r="B29" s="13" t="s">
        <v>62</v>
      </c>
      <c r="C29" s="30"/>
      <c r="D29" s="30">
        <v>6020900</v>
      </c>
      <c r="E29" s="30">
        <v>104107700</v>
      </c>
      <c r="F29" s="30">
        <v>114194000</v>
      </c>
      <c r="G29" s="70">
        <f>2743600+657400</f>
        <v>3401000</v>
      </c>
      <c r="H29" s="29">
        <f>10482118-294000</f>
        <v>10188118</v>
      </c>
      <c r="I29" s="29"/>
      <c r="J29" s="33">
        <f t="shared" si="11"/>
        <v>0</v>
      </c>
      <c r="K29" s="29"/>
      <c r="L29" s="29"/>
      <c r="M29" s="29"/>
      <c r="N29" s="29">
        <v>841892</v>
      </c>
      <c r="O29" s="29">
        <v>126953</v>
      </c>
      <c r="P29" s="29">
        <v>1173950</v>
      </c>
      <c r="Q29" s="29"/>
      <c r="R29" s="33"/>
      <c r="S29" s="33">
        <f>T29+U29+V29+W29+X29+Y29+Z29</f>
        <v>5265469</v>
      </c>
      <c r="T29" s="29">
        <v>3545041</v>
      </c>
      <c r="U29" s="29">
        <v>1339500</v>
      </c>
      <c r="V29" s="29">
        <f>324797-66154</f>
        <v>258643</v>
      </c>
      <c r="W29" s="29"/>
      <c r="X29" s="29">
        <f>122285</f>
        <v>122285</v>
      </c>
      <c r="Y29" s="29"/>
      <c r="Z29" s="29"/>
      <c r="AA29" s="33">
        <f t="shared" si="4"/>
        <v>206100</v>
      </c>
      <c r="AB29" s="33"/>
      <c r="AC29" s="33">
        <v>206100</v>
      </c>
      <c r="AD29" s="33">
        <f t="shared" si="5"/>
        <v>1082125</v>
      </c>
      <c r="AE29" s="29">
        <v>494604</v>
      </c>
      <c r="AF29" s="29">
        <v>389610</v>
      </c>
      <c r="AG29" s="29">
        <v>197911</v>
      </c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>
        <f>630000-20000</f>
        <v>610000</v>
      </c>
      <c r="AS29" s="29"/>
      <c r="AT29" s="29"/>
      <c r="AU29" s="29"/>
      <c r="AV29" s="29"/>
      <c r="AW29" s="29"/>
      <c r="AX29" s="29"/>
      <c r="AY29" s="29">
        <v>91000</v>
      </c>
      <c r="AZ29" s="29"/>
      <c r="BA29" s="29"/>
      <c r="BB29" s="33"/>
      <c r="BC29" s="33"/>
      <c r="BD29" s="33">
        <f t="shared" si="0"/>
        <v>247309207</v>
      </c>
      <c r="BE29" s="33"/>
      <c r="BF29" s="33"/>
      <c r="BG29" s="29"/>
      <c r="BH29" s="29"/>
      <c r="BI29" s="29"/>
      <c r="BJ29" s="29"/>
      <c r="BK29" s="29">
        <v>37000</v>
      </c>
      <c r="BL29" s="29"/>
      <c r="BM29" s="29"/>
      <c r="BN29" s="29"/>
      <c r="BO29" s="29"/>
      <c r="BP29" s="29"/>
      <c r="BQ29" s="33"/>
      <c r="BR29" s="33"/>
      <c r="BS29" s="33">
        <f t="shared" si="1"/>
        <v>37000</v>
      </c>
      <c r="BT29" s="29"/>
    </row>
    <row r="30" spans="1:72" ht="63" customHeight="1" x14ac:dyDescent="0.8">
      <c r="A30" s="12" t="s">
        <v>28</v>
      </c>
      <c r="B30" s="13" t="s">
        <v>84</v>
      </c>
      <c r="C30" s="30"/>
      <c r="D30" s="30">
        <v>4178300</v>
      </c>
      <c r="E30" s="30">
        <v>109238700</v>
      </c>
      <c r="F30" s="30">
        <v>106698800</v>
      </c>
      <c r="G30" s="70">
        <f>1623000-377800</f>
        <v>1245200</v>
      </c>
      <c r="H30" s="29">
        <v>1724332</v>
      </c>
      <c r="I30" s="29"/>
      <c r="J30" s="33">
        <f t="shared" si="11"/>
        <v>205100</v>
      </c>
      <c r="K30" s="29"/>
      <c r="L30" s="29">
        <v>203100</v>
      </c>
      <c r="M30" s="29">
        <v>2000</v>
      </c>
      <c r="N30" s="29">
        <v>1413989</v>
      </c>
      <c r="O30" s="29">
        <v>213221</v>
      </c>
      <c r="P30" s="29">
        <v>1591001</v>
      </c>
      <c r="Q30" s="29"/>
      <c r="R30" s="33"/>
      <c r="S30" s="33">
        <f t="shared" si="3"/>
        <v>305669</v>
      </c>
      <c r="T30" s="29"/>
      <c r="U30" s="29"/>
      <c r="V30" s="29">
        <f>324797-19128</f>
        <v>305669</v>
      </c>
      <c r="W30" s="29"/>
      <c r="X30" s="29"/>
      <c r="Y30" s="29"/>
      <c r="Z30" s="29"/>
      <c r="AA30" s="33">
        <f t="shared" si="4"/>
        <v>61222</v>
      </c>
      <c r="AB30" s="33">
        <v>61222</v>
      </c>
      <c r="AC30" s="33"/>
      <c r="AD30" s="33">
        <f t="shared" si="5"/>
        <v>1429855</v>
      </c>
      <c r="AE30" s="29">
        <v>584532</v>
      </c>
      <c r="AF30" s="29">
        <v>539460</v>
      </c>
      <c r="AG30" s="29">
        <v>305863</v>
      </c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>
        <f>1550000-15000</f>
        <v>1535000</v>
      </c>
      <c r="AS30" s="29"/>
      <c r="AT30" s="29"/>
      <c r="AU30" s="29"/>
      <c r="AV30" s="29"/>
      <c r="AW30" s="29"/>
      <c r="AX30" s="29"/>
      <c r="AY30" s="29">
        <v>91000</v>
      </c>
      <c r="AZ30" s="29"/>
      <c r="BA30" s="29"/>
      <c r="BB30" s="33"/>
      <c r="BC30" s="33"/>
      <c r="BD30" s="33">
        <f t="shared" si="0"/>
        <v>229931389</v>
      </c>
      <c r="BE30" s="33"/>
      <c r="BF30" s="33"/>
      <c r="BG30" s="29"/>
      <c r="BH30" s="29"/>
      <c r="BI30" s="29">
        <v>2500000</v>
      </c>
      <c r="BJ30" s="29"/>
      <c r="BK30" s="29">
        <f>48700</f>
        <v>48700</v>
      </c>
      <c r="BL30" s="29"/>
      <c r="BM30" s="29"/>
      <c r="BN30" s="29"/>
      <c r="BO30" s="29"/>
      <c r="BP30" s="29"/>
      <c r="BQ30" s="33"/>
      <c r="BR30" s="33"/>
      <c r="BS30" s="33">
        <f t="shared" si="1"/>
        <v>2548700</v>
      </c>
      <c r="BT30" s="29"/>
    </row>
    <row r="31" spans="1:72" ht="59.25" customHeight="1" x14ac:dyDescent="0.8">
      <c r="A31" s="12" t="s">
        <v>29</v>
      </c>
      <c r="B31" s="13" t="s">
        <v>63</v>
      </c>
      <c r="C31" s="30"/>
      <c r="D31" s="30">
        <v>7271800</v>
      </c>
      <c r="E31" s="30">
        <v>61439700</v>
      </c>
      <c r="F31" s="30">
        <v>68617300</v>
      </c>
      <c r="G31" s="70">
        <f>1959600-191100</f>
        <v>1768500</v>
      </c>
      <c r="H31" s="29">
        <v>1663458</v>
      </c>
      <c r="I31" s="29"/>
      <c r="J31" s="33">
        <f t="shared" si="11"/>
        <v>0</v>
      </c>
      <c r="K31" s="29"/>
      <c r="L31" s="29"/>
      <c r="M31" s="29"/>
      <c r="N31" s="29">
        <v>718372</v>
      </c>
      <c r="O31" s="29">
        <v>108326</v>
      </c>
      <c r="P31" s="29">
        <v>880041</v>
      </c>
      <c r="Q31" s="29"/>
      <c r="R31" s="33"/>
      <c r="S31" s="33">
        <f t="shared" si="3"/>
        <v>2984669</v>
      </c>
      <c r="T31" s="29"/>
      <c r="U31" s="29">
        <f>2679000</f>
        <v>2679000</v>
      </c>
      <c r="V31" s="29">
        <f>312767-7098</f>
        <v>305669</v>
      </c>
      <c r="W31" s="29"/>
      <c r="X31" s="29"/>
      <c r="Y31" s="29"/>
      <c r="Z31" s="29"/>
      <c r="AA31" s="33">
        <f t="shared" si="4"/>
        <v>206100</v>
      </c>
      <c r="AB31" s="33"/>
      <c r="AC31" s="33">
        <v>206100</v>
      </c>
      <c r="AD31" s="33">
        <f t="shared" si="5"/>
        <v>1336977</v>
      </c>
      <c r="AE31" s="29">
        <v>584532</v>
      </c>
      <c r="AF31" s="29">
        <v>392607</v>
      </c>
      <c r="AG31" s="29">
        <v>359838</v>
      </c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>
        <f>550000+500000</f>
        <v>1050000</v>
      </c>
      <c r="AS31" s="31"/>
      <c r="AT31" s="31"/>
      <c r="AU31" s="31"/>
      <c r="AV31" s="31"/>
      <c r="AW31" s="31"/>
      <c r="AX31" s="31"/>
      <c r="AY31" s="31">
        <v>91000</v>
      </c>
      <c r="AZ31" s="31"/>
      <c r="BA31" s="31">
        <v>985000</v>
      </c>
      <c r="BB31" s="45"/>
      <c r="BC31" s="45"/>
      <c r="BD31" s="33">
        <f t="shared" si="0"/>
        <v>149121243</v>
      </c>
      <c r="BE31" s="33"/>
      <c r="BF31" s="33"/>
      <c r="BG31" s="31"/>
      <c r="BH31" s="31"/>
      <c r="BI31" s="31"/>
      <c r="BJ31" s="31"/>
      <c r="BK31" s="31">
        <v>45200</v>
      </c>
      <c r="BL31" s="31"/>
      <c r="BM31" s="31"/>
      <c r="BN31" s="31"/>
      <c r="BO31" s="31"/>
      <c r="BP31" s="31"/>
      <c r="BQ31" s="45"/>
      <c r="BR31" s="45"/>
      <c r="BS31" s="33">
        <f t="shared" si="1"/>
        <v>45200</v>
      </c>
      <c r="BT31" s="31"/>
    </row>
    <row r="32" spans="1:72" ht="63" customHeight="1" x14ac:dyDescent="0.8">
      <c r="A32" s="12" t="s">
        <v>30</v>
      </c>
      <c r="B32" s="13" t="s">
        <v>64</v>
      </c>
      <c r="C32" s="30"/>
      <c r="D32" s="30">
        <v>3296900</v>
      </c>
      <c r="E32" s="30">
        <v>66461500</v>
      </c>
      <c r="F32" s="30">
        <v>87213000</v>
      </c>
      <c r="G32" s="70">
        <f>1933700+516500</f>
        <v>2450200</v>
      </c>
      <c r="H32" s="29">
        <v>3468939</v>
      </c>
      <c r="I32" s="29"/>
      <c r="J32" s="33">
        <f t="shared" si="11"/>
        <v>0</v>
      </c>
      <c r="K32" s="29"/>
      <c r="L32" s="29"/>
      <c r="M32" s="29"/>
      <c r="N32" s="29">
        <v>676114</v>
      </c>
      <c r="O32" s="29">
        <v>101954</v>
      </c>
      <c r="P32" s="29">
        <f>678797-124041</f>
        <v>554756</v>
      </c>
      <c r="Q32" s="29"/>
      <c r="R32" s="33"/>
      <c r="S32" s="33">
        <f t="shared" si="3"/>
        <v>176348</v>
      </c>
      <c r="T32" s="29"/>
      <c r="U32" s="29"/>
      <c r="V32" s="29">
        <f>180443-4095</f>
        <v>176348</v>
      </c>
      <c r="W32" s="29"/>
      <c r="X32" s="29"/>
      <c r="Y32" s="29"/>
      <c r="Z32" s="29"/>
      <c r="AA32" s="33">
        <f t="shared" si="4"/>
        <v>61222</v>
      </c>
      <c r="AB32" s="33">
        <v>61222</v>
      </c>
      <c r="AC32" s="33"/>
      <c r="AD32" s="33">
        <f t="shared" si="5"/>
        <v>827898</v>
      </c>
      <c r="AE32" s="29">
        <v>337230</v>
      </c>
      <c r="AF32" s="29">
        <v>202797</v>
      </c>
      <c r="AG32" s="29">
        <v>287871</v>
      </c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31">
        <v>270000</v>
      </c>
      <c r="AS32" s="31"/>
      <c r="AT32" s="31"/>
      <c r="AU32" s="31"/>
      <c r="AV32" s="31"/>
      <c r="AW32" s="31"/>
      <c r="AX32" s="31"/>
      <c r="AY32" s="31">
        <v>91000</v>
      </c>
      <c r="AZ32" s="31"/>
      <c r="BA32" s="31"/>
      <c r="BB32" s="45"/>
      <c r="BC32" s="45"/>
      <c r="BD32" s="33">
        <f t="shared" si="0"/>
        <v>165649831</v>
      </c>
      <c r="BE32" s="33"/>
      <c r="BF32" s="33"/>
      <c r="BG32" s="31"/>
      <c r="BH32" s="31"/>
      <c r="BI32" s="31"/>
      <c r="BJ32" s="31"/>
      <c r="BK32" s="31">
        <v>15362</v>
      </c>
      <c r="BL32" s="31"/>
      <c r="BM32" s="31"/>
      <c r="BN32" s="31"/>
      <c r="BO32" s="31"/>
      <c r="BP32" s="31"/>
      <c r="BQ32" s="45"/>
      <c r="BR32" s="45"/>
      <c r="BS32" s="33">
        <f t="shared" si="1"/>
        <v>15362</v>
      </c>
      <c r="BT32" s="31"/>
    </row>
    <row r="33" spans="1:72" ht="66.75" customHeight="1" x14ac:dyDescent="0.8">
      <c r="A33" s="12" t="s">
        <v>31</v>
      </c>
      <c r="B33" s="13" t="s">
        <v>65</v>
      </c>
      <c r="C33" s="30"/>
      <c r="D33" s="30">
        <v>4848600</v>
      </c>
      <c r="E33" s="30">
        <v>58186300</v>
      </c>
      <c r="F33" s="30">
        <v>75819900</v>
      </c>
      <c r="G33" s="70">
        <f>1032900+128400</f>
        <v>1161300</v>
      </c>
      <c r="H33" s="29">
        <v>2141617</v>
      </c>
      <c r="I33" s="29"/>
      <c r="J33" s="33">
        <f t="shared" si="11"/>
        <v>207300</v>
      </c>
      <c r="K33" s="29"/>
      <c r="L33" s="29">
        <v>205700</v>
      </c>
      <c r="M33" s="29">
        <v>1600</v>
      </c>
      <c r="N33" s="29">
        <v>728123</v>
      </c>
      <c r="O33" s="29">
        <v>109797</v>
      </c>
      <c r="P33" s="29">
        <v>613009</v>
      </c>
      <c r="Q33" s="29"/>
      <c r="R33" s="33"/>
      <c r="S33" s="33">
        <f t="shared" si="3"/>
        <v>5201967</v>
      </c>
      <c r="T33" s="29">
        <v>3545041</v>
      </c>
      <c r="U33" s="29">
        <f>1339500</f>
        <v>1339500</v>
      </c>
      <c r="V33" s="29">
        <f>324797-7371</f>
        <v>317426</v>
      </c>
      <c r="W33" s="29"/>
      <c r="X33" s="29"/>
      <c r="Y33" s="29"/>
      <c r="Z33" s="29"/>
      <c r="AA33" s="33">
        <f t="shared" si="4"/>
        <v>206100</v>
      </c>
      <c r="AB33" s="33"/>
      <c r="AC33" s="33">
        <v>206100</v>
      </c>
      <c r="AD33" s="33">
        <f t="shared" si="5"/>
        <v>1422446</v>
      </c>
      <c r="AE33" s="29">
        <v>607014</v>
      </c>
      <c r="AF33" s="29">
        <v>365634</v>
      </c>
      <c r="AG33" s="29">
        <v>449798</v>
      </c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31">
        <f>500000+75000</f>
        <v>575000</v>
      </c>
      <c r="AS33" s="31"/>
      <c r="AT33" s="31"/>
      <c r="AU33" s="31"/>
      <c r="AV33" s="31"/>
      <c r="AW33" s="31"/>
      <c r="AX33" s="31"/>
      <c r="AY33" s="31">
        <v>91000</v>
      </c>
      <c r="AZ33" s="31"/>
      <c r="BA33" s="31"/>
      <c r="BB33" s="45"/>
      <c r="BC33" s="45"/>
      <c r="BD33" s="33">
        <f t="shared" si="0"/>
        <v>151312459</v>
      </c>
      <c r="BE33" s="33"/>
      <c r="BF33" s="72">
        <f>65000+82200</f>
        <v>147200</v>
      </c>
      <c r="BG33" s="31"/>
      <c r="BH33" s="31">
        <v>3450000</v>
      </c>
      <c r="BI33" s="31">
        <v>300000</v>
      </c>
      <c r="BJ33" s="31"/>
      <c r="BK33" s="31">
        <v>33600</v>
      </c>
      <c r="BL33" s="31"/>
      <c r="BM33" s="31"/>
      <c r="BN33" s="31"/>
      <c r="BO33" s="31"/>
      <c r="BP33" s="31"/>
      <c r="BQ33" s="45"/>
      <c r="BR33" s="45"/>
      <c r="BS33" s="33">
        <f t="shared" si="1"/>
        <v>3930800</v>
      </c>
      <c r="BT33" s="31"/>
    </row>
    <row r="34" spans="1:72" ht="63" customHeight="1" x14ac:dyDescent="0.8">
      <c r="A34" s="12" t="s">
        <v>32</v>
      </c>
      <c r="B34" s="13" t="s">
        <v>66</v>
      </c>
      <c r="C34" s="30"/>
      <c r="D34" s="30">
        <v>2997900</v>
      </c>
      <c r="E34" s="30">
        <v>41243300</v>
      </c>
      <c r="F34" s="30">
        <v>41295000</v>
      </c>
      <c r="G34" s="70">
        <f>4827800-384600</f>
        <v>4443200</v>
      </c>
      <c r="H34" s="29">
        <f>712489+144000</f>
        <v>856489</v>
      </c>
      <c r="I34" s="29"/>
      <c r="J34" s="33">
        <f t="shared" si="11"/>
        <v>0</v>
      </c>
      <c r="K34" s="29"/>
      <c r="L34" s="29"/>
      <c r="M34" s="29"/>
      <c r="N34" s="29"/>
      <c r="O34" s="29"/>
      <c r="P34" s="29">
        <f>412384-378061</f>
        <v>34323</v>
      </c>
      <c r="Q34" s="29"/>
      <c r="R34" s="33"/>
      <c r="S34" s="33">
        <f t="shared" si="3"/>
        <v>23513</v>
      </c>
      <c r="T34" s="29"/>
      <c r="U34" s="29"/>
      <c r="V34" s="29">
        <f>156384-132871</f>
        <v>23513</v>
      </c>
      <c r="W34" s="29"/>
      <c r="X34" s="29"/>
      <c r="Y34" s="29"/>
      <c r="Z34" s="29"/>
      <c r="AA34" s="33">
        <f t="shared" si="4"/>
        <v>0</v>
      </c>
      <c r="AB34" s="33">
        <f>122444-122444</f>
        <v>0</v>
      </c>
      <c r="AC34" s="33"/>
      <c r="AD34" s="33">
        <f t="shared" si="5"/>
        <v>201867</v>
      </c>
      <c r="AE34" s="29">
        <v>44964</v>
      </c>
      <c r="AF34" s="29">
        <v>48951</v>
      </c>
      <c r="AG34" s="29">
        <v>107952</v>
      </c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1">
        <v>300000</v>
      </c>
      <c r="AS34" s="31"/>
      <c r="AT34" s="31"/>
      <c r="AU34" s="31"/>
      <c r="AV34" s="31"/>
      <c r="AW34" s="31"/>
      <c r="AX34" s="31"/>
      <c r="AY34" s="31">
        <f>91000+2000</f>
        <v>93000</v>
      </c>
      <c r="AZ34" s="31"/>
      <c r="BA34" s="31"/>
      <c r="BB34" s="45"/>
      <c r="BC34" s="45"/>
      <c r="BD34" s="33">
        <f t="shared" si="0"/>
        <v>91488592</v>
      </c>
      <c r="BE34" s="33"/>
      <c r="BF34" s="33"/>
      <c r="BG34" s="31"/>
      <c r="BH34" s="31"/>
      <c r="BI34" s="31"/>
      <c r="BJ34" s="31"/>
      <c r="BK34" s="31">
        <v>3300</v>
      </c>
      <c r="BL34" s="31"/>
      <c r="BM34" s="31"/>
      <c r="BN34" s="31"/>
      <c r="BO34" s="31"/>
      <c r="BP34" s="31"/>
      <c r="BQ34" s="45"/>
      <c r="BR34" s="45"/>
      <c r="BS34" s="33">
        <f t="shared" si="1"/>
        <v>3300</v>
      </c>
      <c r="BT34" s="31"/>
    </row>
    <row r="35" spans="1:72" ht="63" customHeight="1" x14ac:dyDescent="0.8">
      <c r="A35" s="12" t="s">
        <v>33</v>
      </c>
      <c r="B35" s="13" t="s">
        <v>67</v>
      </c>
      <c r="C35" s="30"/>
      <c r="D35" s="30">
        <v>3920800</v>
      </c>
      <c r="E35" s="30">
        <v>62364500</v>
      </c>
      <c r="F35" s="30">
        <v>88089100</v>
      </c>
      <c r="G35" s="70">
        <f>795200+295600</f>
        <v>1090800</v>
      </c>
      <c r="H35" s="29">
        <v>2112776</v>
      </c>
      <c r="I35" s="29"/>
      <c r="J35" s="33">
        <f t="shared" si="11"/>
        <v>0</v>
      </c>
      <c r="K35" s="29"/>
      <c r="L35" s="29"/>
      <c r="M35" s="29"/>
      <c r="N35" s="29">
        <v>679365</v>
      </c>
      <c r="O35" s="29">
        <v>102444</v>
      </c>
      <c r="P35" s="29">
        <v>918164</v>
      </c>
      <c r="Q35" s="29"/>
      <c r="R35" s="33"/>
      <c r="S35" s="33">
        <f t="shared" si="3"/>
        <v>152835</v>
      </c>
      <c r="T35" s="29"/>
      <c r="U35" s="29"/>
      <c r="V35" s="29">
        <f>300738-147903</f>
        <v>152835</v>
      </c>
      <c r="W35" s="29"/>
      <c r="X35" s="29"/>
      <c r="Y35" s="29"/>
      <c r="Z35" s="29"/>
      <c r="AA35" s="33">
        <f>AB35+AC35</f>
        <v>359155</v>
      </c>
      <c r="AB35" s="33">
        <f>765275-612220</f>
        <v>153055</v>
      </c>
      <c r="AC35" s="33">
        <v>206100</v>
      </c>
      <c r="AD35" s="33">
        <f t="shared" si="5"/>
        <v>637011</v>
      </c>
      <c r="AE35" s="29">
        <v>292266</v>
      </c>
      <c r="AF35" s="29">
        <v>182817</v>
      </c>
      <c r="AG35" s="29">
        <v>161928</v>
      </c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31">
        <f>560000+40000</f>
        <v>600000</v>
      </c>
      <c r="AS35" s="31"/>
      <c r="AT35" s="31"/>
      <c r="AU35" s="31"/>
      <c r="AV35" s="31"/>
      <c r="AW35" s="31"/>
      <c r="AX35" s="31">
        <v>13000</v>
      </c>
      <c r="AY35" s="31">
        <v>91000</v>
      </c>
      <c r="AZ35" s="31"/>
      <c r="BA35" s="31"/>
      <c r="BB35" s="45"/>
      <c r="BC35" s="45"/>
      <c r="BD35" s="33">
        <f t="shared" si="0"/>
        <v>161130950</v>
      </c>
      <c r="BE35" s="33"/>
      <c r="BF35" s="33"/>
      <c r="BG35" s="31"/>
      <c r="BH35" s="31"/>
      <c r="BI35" s="31"/>
      <c r="BJ35" s="31"/>
      <c r="BK35" s="31">
        <f>16300</f>
        <v>16300</v>
      </c>
      <c r="BL35" s="31"/>
      <c r="BM35" s="31"/>
      <c r="BN35" s="31"/>
      <c r="BO35" s="31"/>
      <c r="BP35" s="31"/>
      <c r="BQ35" s="45"/>
      <c r="BR35" s="45"/>
      <c r="BS35" s="33">
        <f t="shared" si="1"/>
        <v>16300</v>
      </c>
      <c r="BT35" s="31"/>
    </row>
    <row r="36" spans="1:72" ht="63" customHeight="1" x14ac:dyDescent="0.8">
      <c r="A36" s="12" t="s">
        <v>34</v>
      </c>
      <c r="B36" s="13" t="s">
        <v>68</v>
      </c>
      <c r="C36" s="30"/>
      <c r="D36" s="30">
        <v>11567000</v>
      </c>
      <c r="E36" s="30">
        <v>96637100</v>
      </c>
      <c r="F36" s="30">
        <v>120467500</v>
      </c>
      <c r="G36" s="70">
        <f>1450100+59700</f>
        <v>1509800</v>
      </c>
      <c r="H36" s="29">
        <v>2866821</v>
      </c>
      <c r="I36" s="29"/>
      <c r="J36" s="33">
        <f>K36+L36+M36</f>
        <v>1048100</v>
      </c>
      <c r="K36" s="29">
        <f>64600</f>
        <v>64600</v>
      </c>
      <c r="L36" s="29">
        <v>980200</v>
      </c>
      <c r="M36" s="29">
        <v>3300</v>
      </c>
      <c r="N36" s="29">
        <v>838642</v>
      </c>
      <c r="O36" s="29">
        <v>126462</v>
      </c>
      <c r="P36" s="29">
        <v>1866748</v>
      </c>
      <c r="Q36" s="29"/>
      <c r="R36" s="33"/>
      <c r="S36" s="33">
        <f t="shared" si="3"/>
        <v>6764940</v>
      </c>
      <c r="T36" s="29">
        <v>3545041</v>
      </c>
      <c r="U36" s="29">
        <f>2679100</f>
        <v>2679100</v>
      </c>
      <c r="V36" s="29">
        <f>553357-12558</f>
        <v>540799</v>
      </c>
      <c r="W36" s="29"/>
      <c r="X36" s="29"/>
      <c r="Y36" s="29"/>
      <c r="Z36" s="29"/>
      <c r="AA36" s="33">
        <f t="shared" si="4"/>
        <v>328544</v>
      </c>
      <c r="AB36" s="33">
        <v>122444</v>
      </c>
      <c r="AC36" s="33">
        <v>206100</v>
      </c>
      <c r="AD36" s="33">
        <f t="shared" si="5"/>
        <v>2560072</v>
      </c>
      <c r="AE36" s="29">
        <v>1034172</v>
      </c>
      <c r="AF36" s="29">
        <v>806193</v>
      </c>
      <c r="AG36" s="29">
        <v>719707</v>
      </c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1">
        <f>2000000-30000</f>
        <v>1970000</v>
      </c>
      <c r="AS36" s="31"/>
      <c r="AT36" s="31"/>
      <c r="AU36" s="31"/>
      <c r="AV36" s="31"/>
      <c r="AW36" s="31"/>
      <c r="AX36" s="31">
        <v>13000</v>
      </c>
      <c r="AY36" s="31">
        <f>91000+2000</f>
        <v>93000</v>
      </c>
      <c r="AZ36" s="31"/>
      <c r="BA36" s="31"/>
      <c r="BB36" s="45"/>
      <c r="BC36" s="45"/>
      <c r="BD36" s="33">
        <f t="shared" si="0"/>
        <v>248657729</v>
      </c>
      <c r="BE36" s="33"/>
      <c r="BF36" s="33"/>
      <c r="BG36" s="31"/>
      <c r="BH36" s="31"/>
      <c r="BI36" s="31">
        <f>12000000-2000000</f>
        <v>10000000</v>
      </c>
      <c r="BJ36" s="31"/>
      <c r="BK36" s="31">
        <f>10000</f>
        <v>10000</v>
      </c>
      <c r="BL36" s="31"/>
      <c r="BM36" s="31"/>
      <c r="BN36" s="31"/>
      <c r="BO36" s="31"/>
      <c r="BP36" s="31"/>
      <c r="BQ36" s="45"/>
      <c r="BR36" s="45">
        <v>106351</v>
      </c>
      <c r="BS36" s="33">
        <f t="shared" si="1"/>
        <v>10116351</v>
      </c>
      <c r="BT36" s="31"/>
    </row>
    <row r="37" spans="1:72" ht="66.75" customHeight="1" x14ac:dyDescent="0.8">
      <c r="A37" s="12" t="s">
        <v>35</v>
      </c>
      <c r="B37" s="13" t="s">
        <v>69</v>
      </c>
      <c r="C37" s="30"/>
      <c r="D37" s="30">
        <v>3226200</v>
      </c>
      <c r="E37" s="30">
        <v>38223500</v>
      </c>
      <c r="F37" s="30">
        <v>43747600</v>
      </c>
      <c r="G37" s="70">
        <f>2226300+179100</f>
        <v>2405400</v>
      </c>
      <c r="H37" s="29">
        <v>817701</v>
      </c>
      <c r="I37" s="29"/>
      <c r="J37" s="33">
        <f t="shared" si="11"/>
        <v>0</v>
      </c>
      <c r="K37" s="29"/>
      <c r="L37" s="29"/>
      <c r="M37" s="29"/>
      <c r="N37" s="29">
        <v>676114</v>
      </c>
      <c r="O37" s="29">
        <v>101954</v>
      </c>
      <c r="P37" s="29">
        <f>739075-554307</f>
        <v>184768</v>
      </c>
      <c r="Q37" s="29"/>
      <c r="R37" s="33"/>
      <c r="S37" s="33">
        <f t="shared" si="3"/>
        <v>23513</v>
      </c>
      <c r="T37" s="29"/>
      <c r="U37" s="29"/>
      <c r="V37" s="29">
        <f>96236-72723</f>
        <v>23513</v>
      </c>
      <c r="W37" s="29"/>
      <c r="X37" s="29"/>
      <c r="Y37" s="29"/>
      <c r="Z37" s="29"/>
      <c r="AA37" s="33">
        <f t="shared" si="4"/>
        <v>0</v>
      </c>
      <c r="AB37" s="33">
        <f>61222-61222</f>
        <v>0</v>
      </c>
      <c r="AC37" s="33"/>
      <c r="AD37" s="33">
        <f t="shared" si="5"/>
        <v>84934</v>
      </c>
      <c r="AE37" s="29">
        <v>44964</v>
      </c>
      <c r="AF37" s="29">
        <v>21978</v>
      </c>
      <c r="AG37" s="29">
        <v>17992</v>
      </c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1">
        <f>290000-50000</f>
        <v>240000</v>
      </c>
      <c r="AS37" s="31"/>
      <c r="AT37" s="31"/>
      <c r="AU37" s="31"/>
      <c r="AV37" s="31"/>
      <c r="AW37" s="31"/>
      <c r="AX37" s="31"/>
      <c r="AY37" s="31">
        <f>91000+33000</f>
        <v>124000</v>
      </c>
      <c r="AZ37" s="31"/>
      <c r="BA37" s="31"/>
      <c r="BB37" s="45"/>
      <c r="BC37" s="45"/>
      <c r="BD37" s="33">
        <f t="shared" si="0"/>
        <v>89855684</v>
      </c>
      <c r="BE37" s="33"/>
      <c r="BF37" s="33"/>
      <c r="BG37" s="31"/>
      <c r="BH37" s="31"/>
      <c r="BI37" s="31"/>
      <c r="BJ37" s="31"/>
      <c r="BK37" s="31">
        <v>2200</v>
      </c>
      <c r="BL37" s="31"/>
      <c r="BM37" s="31"/>
      <c r="BN37" s="31"/>
      <c r="BO37" s="31"/>
      <c r="BP37" s="31"/>
      <c r="BQ37" s="45"/>
      <c r="BR37" s="45"/>
      <c r="BS37" s="33">
        <f t="shared" si="1"/>
        <v>2200</v>
      </c>
      <c r="BT37" s="31"/>
    </row>
    <row r="38" spans="1:72" ht="63" customHeight="1" x14ac:dyDescent="0.8">
      <c r="A38" s="12" t="s">
        <v>36</v>
      </c>
      <c r="B38" s="13" t="s">
        <v>70</v>
      </c>
      <c r="C38" s="30"/>
      <c r="D38" s="30">
        <v>3201700</v>
      </c>
      <c r="E38" s="30">
        <v>35296000</v>
      </c>
      <c r="F38" s="30">
        <v>48685800</v>
      </c>
      <c r="G38" s="70">
        <f>1486500-143800</f>
        <v>1342700</v>
      </c>
      <c r="H38" s="29">
        <v>2015648</v>
      </c>
      <c r="I38" s="29"/>
      <c r="J38" s="33">
        <f t="shared" si="11"/>
        <v>0</v>
      </c>
      <c r="K38" s="29"/>
      <c r="L38" s="29"/>
      <c r="M38" s="29"/>
      <c r="N38" s="29"/>
      <c r="O38" s="29"/>
      <c r="P38" s="29">
        <v>558636</v>
      </c>
      <c r="Q38" s="29"/>
      <c r="R38" s="33"/>
      <c r="S38" s="33">
        <f>T3+U38+V38+W38+X38+Y38+Z38</f>
        <v>2737883</v>
      </c>
      <c r="T38" s="29"/>
      <c r="U38" s="29">
        <f>2679100</f>
        <v>2679100</v>
      </c>
      <c r="V38" s="29">
        <f>144354-85571</f>
        <v>58783</v>
      </c>
      <c r="W38" s="29"/>
      <c r="X38" s="29"/>
      <c r="Y38" s="29"/>
      <c r="Z38" s="29"/>
      <c r="AA38" s="33">
        <f t="shared" si="4"/>
        <v>267322</v>
      </c>
      <c r="AB38" s="33">
        <v>61222</v>
      </c>
      <c r="AC38" s="33">
        <v>206100</v>
      </c>
      <c r="AD38" s="33">
        <f t="shared" si="5"/>
        <v>453188</v>
      </c>
      <c r="AE38" s="29">
        <v>112410</v>
      </c>
      <c r="AF38" s="29">
        <v>124875</v>
      </c>
      <c r="AG38" s="29">
        <v>215903</v>
      </c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31">
        <f>440000-10000</f>
        <v>430000</v>
      </c>
      <c r="AS38" s="31"/>
      <c r="AT38" s="31"/>
      <c r="AU38" s="31"/>
      <c r="AV38" s="31"/>
      <c r="AW38" s="31"/>
      <c r="AX38" s="31"/>
      <c r="AY38" s="31">
        <v>91000</v>
      </c>
      <c r="AZ38" s="31"/>
      <c r="BA38" s="31"/>
      <c r="BB38" s="45"/>
      <c r="BC38" s="45"/>
      <c r="BD38" s="33">
        <f t="shared" si="0"/>
        <v>95079877</v>
      </c>
      <c r="BE38" s="33"/>
      <c r="BF38" s="33"/>
      <c r="BG38" s="31">
        <v>400000</v>
      </c>
      <c r="BH38" s="31"/>
      <c r="BI38" s="31"/>
      <c r="BJ38" s="31"/>
      <c r="BK38" s="31">
        <v>15800</v>
      </c>
      <c r="BL38" s="31"/>
      <c r="BM38" s="31"/>
      <c r="BN38" s="31"/>
      <c r="BO38" s="31"/>
      <c r="BP38" s="31"/>
      <c r="BQ38" s="45"/>
      <c r="BR38" s="45"/>
      <c r="BS38" s="33">
        <f t="shared" si="1"/>
        <v>415800</v>
      </c>
      <c r="BT38" s="31"/>
    </row>
    <row r="39" spans="1:72" ht="66.75" customHeight="1" x14ac:dyDescent="0.8">
      <c r="A39" s="12" t="s">
        <v>37</v>
      </c>
      <c r="B39" s="13" t="s">
        <v>71</v>
      </c>
      <c r="C39" s="30"/>
      <c r="D39" s="30">
        <v>2000300</v>
      </c>
      <c r="E39" s="30">
        <v>38104400</v>
      </c>
      <c r="F39" s="30">
        <v>34387200</v>
      </c>
      <c r="G39" s="70">
        <f>3689700-7800</f>
        <v>3681900</v>
      </c>
      <c r="H39" s="29">
        <v>3072494</v>
      </c>
      <c r="I39" s="29"/>
      <c r="J39" s="33">
        <f t="shared" si="11"/>
        <v>0</v>
      </c>
      <c r="K39" s="29"/>
      <c r="L39" s="29"/>
      <c r="M39" s="29"/>
      <c r="N39" s="29">
        <v>750877</v>
      </c>
      <c r="O39" s="29">
        <v>113228</v>
      </c>
      <c r="P39" s="29">
        <v>537437</v>
      </c>
      <c r="Q39" s="29"/>
      <c r="R39" s="33"/>
      <c r="S39" s="33">
        <f t="shared" ref="S39:S49" si="12">T39+U39+V39+W39+X39+Y39+Z39</f>
        <v>2820178</v>
      </c>
      <c r="T39" s="29"/>
      <c r="U39" s="29">
        <f>2679100</f>
        <v>2679100</v>
      </c>
      <c r="V39" s="29">
        <f>204502-63424</f>
        <v>141078</v>
      </c>
      <c r="W39" s="29"/>
      <c r="X39" s="29"/>
      <c r="Y39" s="29"/>
      <c r="Z39" s="29"/>
      <c r="AA39" s="33">
        <f t="shared" si="4"/>
        <v>122444</v>
      </c>
      <c r="AB39" s="33">
        <v>122444</v>
      </c>
      <c r="AC39" s="33"/>
      <c r="AD39" s="33">
        <f t="shared" si="5"/>
        <v>487596</v>
      </c>
      <c r="AE39" s="29">
        <v>269784</v>
      </c>
      <c r="AF39" s="29">
        <v>163836</v>
      </c>
      <c r="AG39" s="29">
        <v>53976</v>
      </c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31">
        <v>100000</v>
      </c>
      <c r="AS39" s="31"/>
      <c r="AT39" s="31"/>
      <c r="AU39" s="31"/>
      <c r="AV39" s="31"/>
      <c r="AW39" s="31">
        <v>550000</v>
      </c>
      <c r="AX39" s="31"/>
      <c r="AY39" s="31">
        <v>91000</v>
      </c>
      <c r="AZ39" s="31"/>
      <c r="BA39" s="31"/>
      <c r="BB39" s="45"/>
      <c r="BC39" s="45"/>
      <c r="BD39" s="33">
        <f t="shared" si="0"/>
        <v>86819054</v>
      </c>
      <c r="BE39" s="33"/>
      <c r="BF39" s="33"/>
      <c r="BG39" s="31"/>
      <c r="BH39" s="31"/>
      <c r="BI39" s="31"/>
      <c r="BJ39" s="31"/>
      <c r="BK39" s="31">
        <v>15900</v>
      </c>
      <c r="BL39" s="31"/>
      <c r="BM39" s="31"/>
      <c r="BN39" s="31"/>
      <c r="BO39" s="31"/>
      <c r="BP39" s="31"/>
      <c r="BQ39" s="45"/>
      <c r="BR39" s="45"/>
      <c r="BS39" s="33">
        <f t="shared" si="1"/>
        <v>15900</v>
      </c>
      <c r="BT39" s="31"/>
    </row>
    <row r="40" spans="1:72" ht="63" customHeight="1" x14ac:dyDescent="0.8">
      <c r="A40" s="12" t="s">
        <v>38</v>
      </c>
      <c r="B40" s="13" t="s">
        <v>72</v>
      </c>
      <c r="C40" s="30"/>
      <c r="D40" s="30">
        <v>1142700</v>
      </c>
      <c r="E40" s="30">
        <v>49962800</v>
      </c>
      <c r="F40" s="30">
        <v>92016700</v>
      </c>
      <c r="G40" s="70">
        <f>962600-45800</f>
        <v>916800</v>
      </c>
      <c r="H40" s="29">
        <v>2684163</v>
      </c>
      <c r="I40" s="29"/>
      <c r="J40" s="33">
        <f t="shared" si="11"/>
        <v>0</v>
      </c>
      <c r="K40" s="29"/>
      <c r="L40" s="29"/>
      <c r="M40" s="29"/>
      <c r="N40" s="29">
        <v>607853</v>
      </c>
      <c r="O40" s="29">
        <v>91661</v>
      </c>
      <c r="P40" s="29">
        <v>811779</v>
      </c>
      <c r="Q40" s="29"/>
      <c r="R40" s="33"/>
      <c r="S40" s="33">
        <f t="shared" si="12"/>
        <v>58783</v>
      </c>
      <c r="T40" s="29"/>
      <c r="U40" s="29"/>
      <c r="V40" s="29">
        <f>60148-1365</f>
        <v>58783</v>
      </c>
      <c r="W40" s="29"/>
      <c r="X40" s="29"/>
      <c r="Y40" s="29"/>
      <c r="Z40" s="29"/>
      <c r="AA40" s="33">
        <f t="shared" si="4"/>
        <v>30611</v>
      </c>
      <c r="AB40" s="33">
        <v>30611</v>
      </c>
      <c r="AC40" s="33"/>
      <c r="AD40" s="33">
        <f t="shared" si="5"/>
        <v>260302</v>
      </c>
      <c r="AE40" s="29">
        <v>112410</v>
      </c>
      <c r="AF40" s="29">
        <v>75924</v>
      </c>
      <c r="AG40" s="29">
        <v>71968</v>
      </c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31">
        <v>200000</v>
      </c>
      <c r="AS40" s="31"/>
      <c r="AT40" s="31"/>
      <c r="AU40" s="31"/>
      <c r="AV40" s="31"/>
      <c r="AW40" s="31"/>
      <c r="AX40" s="31"/>
      <c r="AY40" s="31">
        <v>90000</v>
      </c>
      <c r="AZ40" s="31"/>
      <c r="BA40" s="31"/>
      <c r="BB40" s="45"/>
      <c r="BC40" s="45"/>
      <c r="BD40" s="33">
        <f t="shared" si="0"/>
        <v>148874152</v>
      </c>
      <c r="BE40" s="33"/>
      <c r="BF40" s="33"/>
      <c r="BG40" s="31"/>
      <c r="BH40" s="31"/>
      <c r="BI40" s="31"/>
      <c r="BJ40" s="31"/>
      <c r="BK40" s="31">
        <v>9500</v>
      </c>
      <c r="BL40" s="31"/>
      <c r="BM40" s="31"/>
      <c r="BN40" s="31"/>
      <c r="BO40" s="31"/>
      <c r="BP40" s="31"/>
      <c r="BQ40" s="45"/>
      <c r="BR40" s="45"/>
      <c r="BS40" s="33">
        <f t="shared" si="1"/>
        <v>9500</v>
      </c>
      <c r="BT40" s="31"/>
    </row>
    <row r="41" spans="1:72" ht="63" customHeight="1" x14ac:dyDescent="0.8">
      <c r="A41" s="12" t="s">
        <v>39</v>
      </c>
      <c r="B41" s="13" t="s">
        <v>73</v>
      </c>
      <c r="C41" s="30"/>
      <c r="D41" s="30">
        <v>4740300</v>
      </c>
      <c r="E41" s="30">
        <v>88408400</v>
      </c>
      <c r="F41" s="30">
        <v>86734500</v>
      </c>
      <c r="G41" s="70">
        <f>3205300+217800</f>
        <v>3423100</v>
      </c>
      <c r="H41" s="29">
        <v>8802383</v>
      </c>
      <c r="I41" s="29"/>
      <c r="J41" s="33">
        <f t="shared" si="11"/>
        <v>0</v>
      </c>
      <c r="K41" s="29"/>
      <c r="L41" s="29"/>
      <c r="M41" s="29"/>
      <c r="N41" s="29">
        <v>659862</v>
      </c>
      <c r="O41" s="29">
        <v>99503</v>
      </c>
      <c r="P41" s="29">
        <v>803738</v>
      </c>
      <c r="Q41" s="29"/>
      <c r="R41" s="33"/>
      <c r="S41" s="33">
        <f t="shared" si="12"/>
        <v>282156</v>
      </c>
      <c r="T41" s="29"/>
      <c r="U41" s="29"/>
      <c r="V41" s="29">
        <f>348856-66700</f>
        <v>282156</v>
      </c>
      <c r="W41" s="29"/>
      <c r="X41" s="29"/>
      <c r="Y41" s="29"/>
      <c r="Z41" s="29"/>
      <c r="AA41" s="33">
        <f t="shared" si="4"/>
        <v>297933</v>
      </c>
      <c r="AB41" s="33">
        <v>91833</v>
      </c>
      <c r="AC41" s="33">
        <v>206100</v>
      </c>
      <c r="AD41" s="33">
        <f t="shared" si="5"/>
        <v>1276039</v>
      </c>
      <c r="AE41" s="29">
        <v>539568</v>
      </c>
      <c r="AF41" s="29">
        <v>358641</v>
      </c>
      <c r="AG41" s="29">
        <v>377830</v>
      </c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31">
        <f>400000-30000</f>
        <v>370000</v>
      </c>
      <c r="AS41" s="31"/>
      <c r="AT41" s="31"/>
      <c r="AU41" s="31"/>
      <c r="AV41" s="31"/>
      <c r="AW41" s="31"/>
      <c r="AX41" s="31"/>
      <c r="AY41" s="31">
        <f>91000-43000</f>
        <v>48000</v>
      </c>
      <c r="AZ41" s="31"/>
      <c r="BA41" s="31"/>
      <c r="BB41" s="45"/>
      <c r="BC41" s="45"/>
      <c r="BD41" s="33">
        <f t="shared" si="0"/>
        <v>195945914</v>
      </c>
      <c r="BE41" s="33"/>
      <c r="BF41" s="33"/>
      <c r="BG41" s="31"/>
      <c r="BH41" s="31"/>
      <c r="BI41" s="31"/>
      <c r="BJ41" s="31"/>
      <c r="BK41" s="31">
        <f>31100</f>
        <v>31100</v>
      </c>
      <c r="BL41" s="31"/>
      <c r="BM41" s="31"/>
      <c r="BN41" s="31"/>
      <c r="BO41" s="31"/>
      <c r="BP41" s="31"/>
      <c r="BQ41" s="45"/>
      <c r="BR41" s="45"/>
      <c r="BS41" s="33">
        <f t="shared" si="1"/>
        <v>31100</v>
      </c>
      <c r="BT41" s="31"/>
    </row>
    <row r="42" spans="1:72" ht="66.75" customHeight="1" x14ac:dyDescent="0.8">
      <c r="A42" s="12" t="s">
        <v>40</v>
      </c>
      <c r="B42" s="13" t="s">
        <v>74</v>
      </c>
      <c r="C42" s="30"/>
      <c r="D42" s="30">
        <v>5399000</v>
      </c>
      <c r="E42" s="30">
        <v>62111400</v>
      </c>
      <c r="F42" s="30">
        <v>72714800</v>
      </c>
      <c r="G42" s="70">
        <f>1263800-502400</f>
        <v>761400</v>
      </c>
      <c r="H42" s="29">
        <v>2117687</v>
      </c>
      <c r="I42" s="29"/>
      <c r="J42" s="33">
        <f t="shared" si="11"/>
        <v>0</v>
      </c>
      <c r="K42" s="29"/>
      <c r="L42" s="29"/>
      <c r="M42" s="29"/>
      <c r="N42" s="29">
        <v>1114939</v>
      </c>
      <c r="O42" s="29">
        <v>168126</v>
      </c>
      <c r="P42" s="29">
        <v>1012292</v>
      </c>
      <c r="Q42" s="29"/>
      <c r="R42" s="33"/>
      <c r="S42" s="33">
        <f t="shared" si="12"/>
        <v>23513</v>
      </c>
      <c r="T42" s="29"/>
      <c r="U42" s="29">
        <f>1339500-1339500</f>
        <v>0</v>
      </c>
      <c r="V42" s="29">
        <f>276679-253166</f>
        <v>23513</v>
      </c>
      <c r="W42" s="29"/>
      <c r="X42" s="29"/>
      <c r="Y42" s="29"/>
      <c r="Z42" s="29"/>
      <c r="AA42" s="33">
        <f t="shared" si="4"/>
        <v>0</v>
      </c>
      <c r="AB42" s="33">
        <f>1010163-1010163</f>
        <v>0</v>
      </c>
      <c r="AC42" s="33"/>
      <c r="AD42" s="33">
        <f t="shared" si="5"/>
        <v>98930</v>
      </c>
      <c r="AE42" s="29">
        <v>44964</v>
      </c>
      <c r="AF42" s="29">
        <v>17982</v>
      </c>
      <c r="AG42" s="29">
        <v>35984</v>
      </c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31">
        <f>1160000-345000</f>
        <v>815000</v>
      </c>
      <c r="AS42" s="31"/>
      <c r="AT42" s="31"/>
      <c r="AU42" s="31"/>
      <c r="AV42" s="31"/>
      <c r="AW42" s="31"/>
      <c r="AX42" s="31"/>
      <c r="AY42" s="31">
        <v>91000</v>
      </c>
      <c r="AZ42" s="31"/>
      <c r="BA42" s="31"/>
      <c r="BB42" s="45"/>
      <c r="BC42" s="45"/>
      <c r="BD42" s="33">
        <f t="shared" si="0"/>
        <v>146428087</v>
      </c>
      <c r="BE42" s="33"/>
      <c r="BF42" s="33"/>
      <c r="BG42" s="31"/>
      <c r="BH42" s="31"/>
      <c r="BI42" s="31"/>
      <c r="BJ42" s="31"/>
      <c r="BK42" s="31">
        <f>800</f>
        <v>800</v>
      </c>
      <c r="BL42" s="31"/>
      <c r="BM42" s="31"/>
      <c r="BN42" s="31"/>
      <c r="BO42" s="31"/>
      <c r="BP42" s="31"/>
      <c r="BQ42" s="45"/>
      <c r="BR42" s="45"/>
      <c r="BS42" s="33">
        <f t="shared" si="1"/>
        <v>800</v>
      </c>
      <c r="BT42" s="31"/>
    </row>
    <row r="43" spans="1:72" ht="63" customHeight="1" x14ac:dyDescent="0.8">
      <c r="A43" s="12" t="s">
        <v>41</v>
      </c>
      <c r="B43" s="13" t="s">
        <v>75</v>
      </c>
      <c r="C43" s="30"/>
      <c r="D43" s="30">
        <v>2600600</v>
      </c>
      <c r="E43" s="30">
        <v>72503100</v>
      </c>
      <c r="F43" s="30">
        <v>72750900</v>
      </c>
      <c r="G43" s="70">
        <f>918200+787200</f>
        <v>1705400</v>
      </c>
      <c r="H43" s="29">
        <v>2123565</v>
      </c>
      <c r="I43" s="29"/>
      <c r="J43" s="33">
        <f t="shared" si="11"/>
        <v>0</v>
      </c>
      <c r="K43" s="29"/>
      <c r="L43" s="29"/>
      <c r="M43" s="29"/>
      <c r="N43" s="29">
        <v>887400</v>
      </c>
      <c r="O43" s="29">
        <v>133815</v>
      </c>
      <c r="P43" s="29">
        <v>829097</v>
      </c>
      <c r="Q43" s="29"/>
      <c r="R43" s="33"/>
      <c r="S43" s="33">
        <f t="shared" si="12"/>
        <v>152835</v>
      </c>
      <c r="T43" s="29"/>
      <c r="U43" s="29"/>
      <c r="V43" s="29">
        <f>156384-3549</f>
        <v>152835</v>
      </c>
      <c r="W43" s="29"/>
      <c r="X43" s="29"/>
      <c r="Y43" s="29"/>
      <c r="Z43" s="29"/>
      <c r="AA43" s="33">
        <f t="shared" si="4"/>
        <v>61222</v>
      </c>
      <c r="AB43" s="33">
        <v>61222</v>
      </c>
      <c r="AC43" s="33"/>
      <c r="AD43" s="33">
        <f t="shared" si="5"/>
        <v>720996</v>
      </c>
      <c r="AE43" s="29">
        <v>292266</v>
      </c>
      <c r="AF43" s="29">
        <v>140859</v>
      </c>
      <c r="AG43" s="29">
        <v>287871</v>
      </c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1">
        <v>660000</v>
      </c>
      <c r="AS43" s="31"/>
      <c r="AT43" s="31"/>
      <c r="AU43" s="31"/>
      <c r="AV43" s="31"/>
      <c r="AW43" s="31"/>
      <c r="AX43" s="31"/>
      <c r="AY43" s="31">
        <v>91000</v>
      </c>
      <c r="AZ43" s="31"/>
      <c r="BA43" s="31">
        <f>915000</f>
        <v>915000</v>
      </c>
      <c r="BB43" s="45"/>
      <c r="BC43" s="45"/>
      <c r="BD43" s="33">
        <f t="shared" si="0"/>
        <v>156134930</v>
      </c>
      <c r="BE43" s="33"/>
      <c r="BF43" s="33"/>
      <c r="BG43" s="31"/>
      <c r="BH43" s="31"/>
      <c r="BI43" s="31"/>
      <c r="BJ43" s="31"/>
      <c r="BK43" s="31">
        <v>15700</v>
      </c>
      <c r="BL43" s="31"/>
      <c r="BM43" s="31"/>
      <c r="BN43" s="31"/>
      <c r="BO43" s="31"/>
      <c r="BP43" s="31"/>
      <c r="BQ43" s="45"/>
      <c r="BR43" s="45"/>
      <c r="BS43" s="33">
        <f t="shared" si="1"/>
        <v>15700</v>
      </c>
      <c r="BT43" s="31"/>
    </row>
    <row r="44" spans="1:72" ht="59.25" customHeight="1" x14ac:dyDescent="0.8">
      <c r="A44" s="12" t="s">
        <v>42</v>
      </c>
      <c r="B44" s="13" t="s">
        <v>76</v>
      </c>
      <c r="C44" s="30"/>
      <c r="D44" s="30">
        <v>1462300</v>
      </c>
      <c r="E44" s="30">
        <v>42727200</v>
      </c>
      <c r="F44" s="30">
        <v>55845200</v>
      </c>
      <c r="G44" s="70">
        <f>2127500+80200</f>
        <v>2207700</v>
      </c>
      <c r="H44" s="29">
        <v>2321233</v>
      </c>
      <c r="I44" s="29"/>
      <c r="J44" s="33">
        <f t="shared" si="11"/>
        <v>0</v>
      </c>
      <c r="K44" s="29"/>
      <c r="L44" s="29"/>
      <c r="M44" s="29"/>
      <c r="N44" s="29"/>
      <c r="O44" s="29"/>
      <c r="P44" s="29">
        <v>511741</v>
      </c>
      <c r="Q44" s="29"/>
      <c r="R44" s="33"/>
      <c r="S44" s="33">
        <f t="shared" si="12"/>
        <v>94052</v>
      </c>
      <c r="T44" s="29"/>
      <c r="U44" s="29"/>
      <c r="V44" s="29">
        <f>144354-50302</f>
        <v>94052</v>
      </c>
      <c r="W44" s="29"/>
      <c r="X44" s="29"/>
      <c r="Y44" s="29"/>
      <c r="Z44" s="29"/>
      <c r="AA44" s="33">
        <f t="shared" si="4"/>
        <v>0</v>
      </c>
      <c r="AB44" s="33"/>
      <c r="AC44" s="33"/>
      <c r="AD44" s="33">
        <f t="shared" si="5"/>
        <v>387728</v>
      </c>
      <c r="AE44" s="29">
        <v>179856</v>
      </c>
      <c r="AF44" s="29">
        <v>63936</v>
      </c>
      <c r="AG44" s="29">
        <v>143936</v>
      </c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31">
        <v>500000</v>
      </c>
      <c r="AS44" s="31"/>
      <c r="AT44" s="31"/>
      <c r="AU44" s="31"/>
      <c r="AV44" s="31"/>
      <c r="AW44" s="31"/>
      <c r="AX44" s="31"/>
      <c r="AY44" s="31">
        <v>91000</v>
      </c>
      <c r="AZ44" s="31"/>
      <c r="BA44" s="31"/>
      <c r="BB44" s="45"/>
      <c r="BC44" s="45"/>
      <c r="BD44" s="33">
        <f t="shared" si="0"/>
        <v>106148154</v>
      </c>
      <c r="BE44" s="33"/>
      <c r="BF44" s="33"/>
      <c r="BG44" s="31"/>
      <c r="BH44" s="31"/>
      <c r="BI44" s="31"/>
      <c r="BJ44" s="31"/>
      <c r="BK44" s="31">
        <v>5600</v>
      </c>
      <c r="BL44" s="31"/>
      <c r="BM44" s="31"/>
      <c r="BN44" s="31"/>
      <c r="BO44" s="31"/>
      <c r="BP44" s="31"/>
      <c r="BQ44" s="45"/>
      <c r="BR44" s="45"/>
      <c r="BS44" s="33">
        <f t="shared" si="1"/>
        <v>5600</v>
      </c>
      <c r="BT44" s="31"/>
    </row>
    <row r="45" spans="1:72" ht="63" customHeight="1" x14ac:dyDescent="0.8">
      <c r="A45" s="12" t="s">
        <v>43</v>
      </c>
      <c r="B45" s="13" t="s">
        <v>77</v>
      </c>
      <c r="C45" s="30"/>
      <c r="D45" s="30">
        <v>992300</v>
      </c>
      <c r="E45" s="30">
        <v>55824200</v>
      </c>
      <c r="F45" s="30">
        <v>76719900</v>
      </c>
      <c r="G45" s="70">
        <f>2298800-115000</f>
        <v>2183800</v>
      </c>
      <c r="H45" s="29">
        <f>5698506-635000</f>
        <v>5063506</v>
      </c>
      <c r="I45" s="29"/>
      <c r="J45" s="33">
        <f t="shared" si="11"/>
        <v>0</v>
      </c>
      <c r="K45" s="29"/>
      <c r="L45" s="29"/>
      <c r="M45" s="29"/>
      <c r="N45" s="29"/>
      <c r="O45" s="29"/>
      <c r="P45" s="29">
        <v>658330</v>
      </c>
      <c r="Q45" s="29"/>
      <c r="R45" s="33"/>
      <c r="S45" s="33">
        <f t="shared" si="12"/>
        <v>47026</v>
      </c>
      <c r="T45" s="29"/>
      <c r="U45" s="29"/>
      <c r="V45" s="29">
        <f>48118-1092</f>
        <v>47026</v>
      </c>
      <c r="W45" s="29"/>
      <c r="X45" s="29"/>
      <c r="Y45" s="29"/>
      <c r="Z45" s="29"/>
      <c r="AA45" s="33">
        <f t="shared" si="4"/>
        <v>0</v>
      </c>
      <c r="AB45" s="33"/>
      <c r="AC45" s="33"/>
      <c r="AD45" s="33">
        <f t="shared" si="5"/>
        <v>227840</v>
      </c>
      <c r="AE45" s="29">
        <v>89928</v>
      </c>
      <c r="AF45" s="29">
        <v>47952</v>
      </c>
      <c r="AG45" s="29">
        <v>89960</v>
      </c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31">
        <f>460000-70000</f>
        <v>390000</v>
      </c>
      <c r="AS45" s="31"/>
      <c r="AT45" s="31"/>
      <c r="AU45" s="31"/>
      <c r="AV45" s="31"/>
      <c r="AW45" s="31"/>
      <c r="AX45" s="31"/>
      <c r="AY45" s="31">
        <v>91000</v>
      </c>
      <c r="AZ45" s="31"/>
      <c r="BA45" s="31"/>
      <c r="BB45" s="45"/>
      <c r="BC45" s="45"/>
      <c r="BD45" s="33">
        <f t="shared" ref="BD45:BD76" si="13">SUM(C45:BC45)-T45-U45-V45-W45-X45-Y45-Z45-AO45-K45-L45-M45-AE45-AF45-AG45-AB45-AC45</f>
        <v>142197902</v>
      </c>
      <c r="BE45" s="33"/>
      <c r="BF45" s="33"/>
      <c r="BG45" s="31"/>
      <c r="BH45" s="31"/>
      <c r="BI45" s="31"/>
      <c r="BJ45" s="31"/>
      <c r="BK45" s="31">
        <f>6200</f>
        <v>6200</v>
      </c>
      <c r="BL45" s="31"/>
      <c r="BM45" s="31"/>
      <c r="BN45" s="31"/>
      <c r="BO45" s="31"/>
      <c r="BP45" s="31"/>
      <c r="BQ45" s="45"/>
      <c r="BR45" s="45"/>
      <c r="BS45" s="33">
        <f t="shared" ref="BS45:BS76" si="14">SUM(BE45:BR45)</f>
        <v>6200</v>
      </c>
      <c r="BT45" s="31"/>
    </row>
    <row r="46" spans="1:72" ht="59.25" customHeight="1" x14ac:dyDescent="0.8">
      <c r="A46" s="12" t="s">
        <v>44</v>
      </c>
      <c r="B46" s="13" t="s">
        <v>78</v>
      </c>
      <c r="C46" s="30"/>
      <c r="D46" s="30">
        <v>1477800</v>
      </c>
      <c r="E46" s="30">
        <v>43294500</v>
      </c>
      <c r="F46" s="30">
        <v>71648200</v>
      </c>
      <c r="G46" s="70">
        <f>1143500-625500</f>
        <v>518000</v>
      </c>
      <c r="H46" s="29">
        <v>1781790</v>
      </c>
      <c r="I46" s="29"/>
      <c r="J46" s="33">
        <f t="shared" si="11"/>
        <v>0</v>
      </c>
      <c r="K46" s="29"/>
      <c r="L46" s="29"/>
      <c r="M46" s="29"/>
      <c r="N46" s="29"/>
      <c r="O46" s="29"/>
      <c r="P46" s="29">
        <f>297452-297452</f>
        <v>0</v>
      </c>
      <c r="Q46" s="29"/>
      <c r="R46" s="33"/>
      <c r="S46" s="33">
        <f t="shared" si="12"/>
        <v>23513</v>
      </c>
      <c r="T46" s="29"/>
      <c r="U46" s="29">
        <f>1339500-1339500</f>
        <v>0</v>
      </c>
      <c r="V46" s="29">
        <f>48118-24605</f>
        <v>23513</v>
      </c>
      <c r="W46" s="29"/>
      <c r="X46" s="29"/>
      <c r="Y46" s="29"/>
      <c r="Z46" s="29"/>
      <c r="AA46" s="33">
        <f t="shared" si="4"/>
        <v>0</v>
      </c>
      <c r="AB46" s="33">
        <f>30611-30611</f>
        <v>0</v>
      </c>
      <c r="AC46" s="33"/>
      <c r="AD46" s="33">
        <f t="shared" si="5"/>
        <v>93935</v>
      </c>
      <c r="AE46" s="29">
        <v>44964</v>
      </c>
      <c r="AF46" s="29">
        <v>12987</v>
      </c>
      <c r="AG46" s="29">
        <v>35984</v>
      </c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1">
        <v>380000</v>
      </c>
      <c r="AS46" s="31"/>
      <c r="AT46" s="31"/>
      <c r="AU46" s="31"/>
      <c r="AV46" s="31"/>
      <c r="AW46" s="31"/>
      <c r="AX46" s="31"/>
      <c r="AY46" s="31">
        <f>91000+32000</f>
        <v>123000</v>
      </c>
      <c r="AZ46" s="31"/>
      <c r="BA46" s="31"/>
      <c r="BB46" s="45"/>
      <c r="BC46" s="45"/>
      <c r="BD46" s="33">
        <f t="shared" si="13"/>
        <v>119340738</v>
      </c>
      <c r="BE46" s="33"/>
      <c r="BF46" s="33"/>
      <c r="BG46" s="31"/>
      <c r="BH46" s="31"/>
      <c r="BI46" s="31"/>
      <c r="BJ46" s="31"/>
      <c r="BK46" s="31">
        <v>2300</v>
      </c>
      <c r="BL46" s="31"/>
      <c r="BM46" s="31"/>
      <c r="BN46" s="31"/>
      <c r="BO46" s="31"/>
      <c r="BP46" s="31"/>
      <c r="BQ46" s="45"/>
      <c r="BR46" s="45"/>
      <c r="BS46" s="33">
        <f t="shared" si="14"/>
        <v>2300</v>
      </c>
      <c r="BT46" s="31"/>
    </row>
    <row r="47" spans="1:72" ht="63" customHeight="1" x14ac:dyDescent="0.8">
      <c r="A47" s="12" t="s">
        <v>45</v>
      </c>
      <c r="B47" s="13" t="s">
        <v>79</v>
      </c>
      <c r="C47" s="30"/>
      <c r="D47" s="30">
        <v>2398900</v>
      </c>
      <c r="E47" s="30">
        <v>42378400</v>
      </c>
      <c r="F47" s="30">
        <v>65189300</v>
      </c>
      <c r="G47" s="70">
        <f>1324300+48300</f>
        <v>1372600</v>
      </c>
      <c r="H47" s="29">
        <v>2168609</v>
      </c>
      <c r="I47" s="29"/>
      <c r="J47" s="33">
        <f t="shared" si="11"/>
        <v>0</v>
      </c>
      <c r="K47" s="29"/>
      <c r="L47" s="29"/>
      <c r="M47" s="29"/>
      <c r="N47" s="29">
        <v>386815</v>
      </c>
      <c r="O47" s="29">
        <v>58330</v>
      </c>
      <c r="P47" s="29">
        <v>684757</v>
      </c>
      <c r="Q47" s="29"/>
      <c r="R47" s="33"/>
      <c r="S47" s="33">
        <f t="shared" si="12"/>
        <v>70539</v>
      </c>
      <c r="T47" s="29"/>
      <c r="U47" s="29">
        <f>1339500-1339500</f>
        <v>0</v>
      </c>
      <c r="V47" s="29">
        <f>156384-85845</f>
        <v>70539</v>
      </c>
      <c r="W47" s="29"/>
      <c r="X47" s="29"/>
      <c r="Y47" s="29"/>
      <c r="Z47" s="29"/>
      <c r="AA47" s="33">
        <f t="shared" si="4"/>
        <v>0</v>
      </c>
      <c r="AB47" s="33"/>
      <c r="AC47" s="33"/>
      <c r="AD47" s="33">
        <f t="shared" si="5"/>
        <v>97931</v>
      </c>
      <c r="AE47" s="29">
        <v>44964</v>
      </c>
      <c r="AF47" s="29">
        <v>16983</v>
      </c>
      <c r="AG47" s="29">
        <v>35984</v>
      </c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31">
        <f>300000+60000</f>
        <v>360000</v>
      </c>
      <c r="AS47" s="31"/>
      <c r="AT47" s="31"/>
      <c r="AU47" s="31"/>
      <c r="AV47" s="31"/>
      <c r="AW47" s="31"/>
      <c r="AX47" s="31"/>
      <c r="AY47" s="31">
        <v>91000</v>
      </c>
      <c r="AZ47" s="31"/>
      <c r="BA47" s="31"/>
      <c r="BB47" s="45"/>
      <c r="BC47" s="45"/>
      <c r="BD47" s="33">
        <f t="shared" si="13"/>
        <v>115257181</v>
      </c>
      <c r="BE47" s="33"/>
      <c r="BF47" s="33"/>
      <c r="BG47" s="31"/>
      <c r="BH47" s="31"/>
      <c r="BI47" s="31"/>
      <c r="BJ47" s="31"/>
      <c r="BK47" s="31">
        <f>1900</f>
        <v>1900</v>
      </c>
      <c r="BL47" s="31"/>
      <c r="BM47" s="31"/>
      <c r="BN47" s="31"/>
      <c r="BO47" s="31"/>
      <c r="BP47" s="31"/>
      <c r="BQ47" s="45"/>
      <c r="BR47" s="45"/>
      <c r="BS47" s="33">
        <f t="shared" si="14"/>
        <v>1900</v>
      </c>
      <c r="BT47" s="31"/>
    </row>
    <row r="48" spans="1:72" ht="63" customHeight="1" x14ac:dyDescent="0.8">
      <c r="A48" s="12" t="s">
        <v>46</v>
      </c>
      <c r="B48" s="13" t="s">
        <v>80</v>
      </c>
      <c r="C48" s="30"/>
      <c r="D48" s="30">
        <v>1829200</v>
      </c>
      <c r="E48" s="30">
        <v>20509600</v>
      </c>
      <c r="F48" s="30">
        <v>26764900</v>
      </c>
      <c r="G48" s="70">
        <f>1331600-49500</f>
        <v>1282100</v>
      </c>
      <c r="H48" s="29">
        <v>2085662</v>
      </c>
      <c r="I48" s="29"/>
      <c r="J48" s="33">
        <f t="shared" si="11"/>
        <v>200</v>
      </c>
      <c r="K48" s="29"/>
      <c r="L48" s="29"/>
      <c r="M48" s="29">
        <v>200</v>
      </c>
      <c r="N48" s="29"/>
      <c r="O48" s="29"/>
      <c r="P48" s="29">
        <f>237736-178299</f>
        <v>59437</v>
      </c>
      <c r="Q48" s="29"/>
      <c r="R48" s="33"/>
      <c r="S48" s="33">
        <f t="shared" si="12"/>
        <v>1410039</v>
      </c>
      <c r="T48" s="29"/>
      <c r="U48" s="29">
        <v>1339500</v>
      </c>
      <c r="V48" s="29">
        <f>108266-37727</f>
        <v>70539</v>
      </c>
      <c r="W48" s="29"/>
      <c r="X48" s="29"/>
      <c r="Y48" s="29"/>
      <c r="Z48" s="29"/>
      <c r="AA48" s="33">
        <f t="shared" si="4"/>
        <v>0</v>
      </c>
      <c r="AB48" s="33"/>
      <c r="AC48" s="33"/>
      <c r="AD48" s="33">
        <f t="shared" si="5"/>
        <v>295791</v>
      </c>
      <c r="AE48" s="29">
        <v>134892</v>
      </c>
      <c r="AF48" s="29">
        <v>52947</v>
      </c>
      <c r="AG48" s="29">
        <v>107952</v>
      </c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31">
        <f>200000-200000</f>
        <v>0</v>
      </c>
      <c r="AS48" s="31"/>
      <c r="AT48" s="31"/>
      <c r="AU48" s="31"/>
      <c r="AV48" s="31"/>
      <c r="AW48" s="31"/>
      <c r="AX48" s="31"/>
      <c r="AY48" s="31">
        <f>90000-40000</f>
        <v>50000</v>
      </c>
      <c r="AZ48" s="31"/>
      <c r="BA48" s="31"/>
      <c r="BB48" s="45"/>
      <c r="BC48" s="45"/>
      <c r="BD48" s="33">
        <f t="shared" si="13"/>
        <v>54286929</v>
      </c>
      <c r="BE48" s="33"/>
      <c r="BF48" s="33"/>
      <c r="BG48" s="31"/>
      <c r="BH48" s="31"/>
      <c r="BI48" s="31"/>
      <c r="BJ48" s="31"/>
      <c r="BK48" s="31">
        <f>4684</f>
        <v>4684</v>
      </c>
      <c r="BL48" s="31"/>
      <c r="BM48" s="31"/>
      <c r="BN48" s="31"/>
      <c r="BO48" s="31"/>
      <c r="BP48" s="31"/>
      <c r="BQ48" s="45"/>
      <c r="BR48" s="45"/>
      <c r="BS48" s="33">
        <f t="shared" si="14"/>
        <v>4684</v>
      </c>
      <c r="BT48" s="31"/>
    </row>
    <row r="49" spans="1:72" ht="63" customHeight="1" x14ac:dyDescent="0.8">
      <c r="A49" s="12"/>
      <c r="B49" s="13" t="s">
        <v>50</v>
      </c>
      <c r="C49" s="29">
        <f t="shared" ref="C49:I49" si="15">C48+C47+C46+C45+C44+C43+C42+C41+C40+C39+C38+C37+C36+C35+C34+C33+C32+C31+C30+C29+C28+C27</f>
        <v>0</v>
      </c>
      <c r="D49" s="29">
        <f>D48+D47+D46+D45+D44+D43+D42+D41+D40+D39+D38+D37+D36+D35+D34+D33+D32+D31+D30+D29+D28+D27</f>
        <v>78043800</v>
      </c>
      <c r="E49" s="29">
        <f t="shared" si="15"/>
        <v>1346085300</v>
      </c>
      <c r="F49" s="29">
        <f t="shared" si="15"/>
        <v>1648276200</v>
      </c>
      <c r="G49" s="71">
        <f t="shared" si="15"/>
        <v>43413400</v>
      </c>
      <c r="H49" s="29">
        <f t="shared" si="15"/>
        <v>69229233</v>
      </c>
      <c r="I49" s="29">
        <f t="shared" si="15"/>
        <v>0</v>
      </c>
      <c r="J49" s="29">
        <f>J48+J47+J46+J45+J44+J43+J42+J41+J40+J39+J38+J37+J36+J35+J34+J33+J32+J31+J30+J29+J28+J27</f>
        <v>1460700</v>
      </c>
      <c r="K49" s="29">
        <f>K48+K47+K46+K45+K44+K43+K42+K41+K40+K39+K38+K37+K36+K35+K34+K33+K32+K31+K30+K29+K28+K27</f>
        <v>64600</v>
      </c>
      <c r="L49" s="29">
        <f>L48+L47+L46+L45+L44+L43+L42+L41+L40+L39+L38+L37+L36+L35+L34+L33+L32+L31+L30+L29+L28+L27</f>
        <v>1389000</v>
      </c>
      <c r="M49" s="29">
        <f>M48+M47+M46+M45+M44+M43+M42+M41+M40+M39+M38+M37+M36+M35+M34+M33+M32+M31+M30+M29+M28+M27</f>
        <v>7100</v>
      </c>
      <c r="N49" s="29">
        <f>N27+N28+N29+N30+N31+N32+N33+N34+N35+N36+N37+N38+N39+N40+N41+N42+N43+N44+N45+N46+N47+N48</f>
        <v>10980357</v>
      </c>
      <c r="O49" s="29">
        <f>O27+O28+O29+O30+O31+O32+O33+O34+O35+O36+O37+O38+O39+O40+O41+O42+O43+O44+O45+O46+O47+O48</f>
        <v>1655774</v>
      </c>
      <c r="P49" s="29">
        <f>P48+P47+P46+P45+P44+P43+P42+P41+P40+P39+P38+P37+P36+P35+P34+P33+P32+P31+P30+P29+P28+P27</f>
        <v>15116700</v>
      </c>
      <c r="Q49" s="29">
        <f>Q48+Q47+Q46+Q45+Q44+Q43+Q42+Q41+Q40+Q39+Q38+Q37+Q36+Q35+Q34+Q33+Q32+Q31+Q30+Q29+Q28+Q27</f>
        <v>0</v>
      </c>
      <c r="R49" s="33"/>
      <c r="S49" s="33">
        <f t="shared" si="12"/>
        <v>30064749</v>
      </c>
      <c r="T49" s="29">
        <f t="shared" ref="T49:AH49" si="16">T48+T47+T46+T45+T44+T43+T42+T41+T40+T39+T38+T37+T36+T35+T34+T33+T32+T31+T30+T29+T28+T27</f>
        <v>10635123</v>
      </c>
      <c r="U49" s="29">
        <f t="shared" si="16"/>
        <v>16074300</v>
      </c>
      <c r="V49" s="29">
        <f t="shared" si="16"/>
        <v>3233041</v>
      </c>
      <c r="W49" s="29">
        <f t="shared" si="16"/>
        <v>0</v>
      </c>
      <c r="X49" s="29">
        <f t="shared" si="16"/>
        <v>122285</v>
      </c>
      <c r="Y49" s="29">
        <f t="shared" si="16"/>
        <v>0</v>
      </c>
      <c r="Z49" s="29">
        <f t="shared" si="16"/>
        <v>0</v>
      </c>
      <c r="AA49" s="33">
        <f t="shared" si="4"/>
        <v>2628352</v>
      </c>
      <c r="AB49" s="33">
        <f>SUM(AB27:AB48)</f>
        <v>979552</v>
      </c>
      <c r="AC49" s="33">
        <f>SUM(AC27:AC48)</f>
        <v>1648800</v>
      </c>
      <c r="AD49" s="33">
        <f t="shared" si="5"/>
        <v>14445619</v>
      </c>
      <c r="AE49" s="29">
        <f>SUM(AE27:AE48)</f>
        <v>6092622</v>
      </c>
      <c r="AF49" s="29">
        <f>SUM(AF27:AF48)</f>
        <v>4142853</v>
      </c>
      <c r="AG49" s="29">
        <f>SUM(AG27:AG48)</f>
        <v>4210144</v>
      </c>
      <c r="AH49" s="29">
        <f t="shared" si="16"/>
        <v>0</v>
      </c>
      <c r="AI49" s="29">
        <f>AI48+AI47+AI46+AI45+AI44+AI43+AI42+AI41+AI40+AI39+AI38+AI37+AI36+AI35+AI34+AI33+AI32+AI31+AI30+AI29+AI28+AI27</f>
        <v>0</v>
      </c>
      <c r="AJ49" s="29"/>
      <c r="AK49" s="29"/>
      <c r="AL49" s="29">
        <f>AL48+AL47+AL46+AL45+AL44+AL43+AL42+AL41+AL40+AL39+AL38+AL37+AL36+AL35+AL34+AL33+AL32+AL31+AL30+AL29+AL28+AL27</f>
        <v>0</v>
      </c>
      <c r="AM49" s="29"/>
      <c r="AN49" s="29">
        <f>AN48+AN47+AN46+AN45+AN44+AN43+AN42+AN41+AN40+AN39+AN38+AN37+AN36+AN35+AN34+AN33+AN32+AN31+AN30+AN29+AN28+AN27</f>
        <v>0</v>
      </c>
      <c r="AO49" s="29">
        <f>AO48+AO47+AO46+AO45+AO44+AO43+AO42+AO41+AO40+AO39+AO38+AO37+AO36+AO35+AO34+AO33+AO32+AO31+AO30+AO29+AO28+AO27</f>
        <v>0</v>
      </c>
      <c r="AP49" s="29">
        <f>AP48+AP47+AP46+AP45+AP44+AP43+AP42+AP41+AP40+AP39+AP38+AP37+AP36+AP35+AP34+AP33+AP32+AP31+AP30+AP29+AP28+AP27</f>
        <v>0</v>
      </c>
      <c r="AQ49" s="29">
        <f>AQ27+AQ28+AQ29+AQ30+AQ31+AQ32+AQ33+AQ34+AQ35+AQ36+AQ37+AQ38+AQ39+AQ40+AQ41+AQ42+AQ43+AQ44+AQ45+AQ46+AQ47+AQ48</f>
        <v>300000</v>
      </c>
      <c r="AR49" s="29">
        <f>AR48+AR47+AR46+AR45+AR44+AR43+AR42+AR41+AR40+AR39+AR38+AR37+AR36+AR35+AR34+AR33+AR32+AR31+AR30+AR29+AR28+AR27</f>
        <v>11795000</v>
      </c>
      <c r="AS49" s="29">
        <f t="shared" ref="AS49:BC49" si="17">AS48+AS47+AS46+AS45+AS44+AS43+AS42+AS41+AS40+AS39+AS38+AS37+AS36+AS35+AS34+AS33+AS32+AS31+AS30+AS29+AS28+AS27</f>
        <v>0</v>
      </c>
      <c r="AT49" s="29">
        <f t="shared" si="17"/>
        <v>0</v>
      </c>
      <c r="AU49" s="29">
        <f t="shared" si="17"/>
        <v>0</v>
      </c>
      <c r="AV49" s="29">
        <f t="shared" si="17"/>
        <v>0</v>
      </c>
      <c r="AW49" s="29">
        <f t="shared" si="17"/>
        <v>550000</v>
      </c>
      <c r="AX49" s="29">
        <f t="shared" si="17"/>
        <v>26000</v>
      </c>
      <c r="AY49" s="29">
        <f t="shared" si="17"/>
        <v>2000000</v>
      </c>
      <c r="AZ49" s="29">
        <f t="shared" si="17"/>
        <v>0</v>
      </c>
      <c r="BA49" s="29">
        <f t="shared" si="17"/>
        <v>2250000</v>
      </c>
      <c r="BB49" s="29">
        <f t="shared" si="17"/>
        <v>0</v>
      </c>
      <c r="BC49" s="29">
        <f t="shared" si="17"/>
        <v>0</v>
      </c>
      <c r="BD49" s="33">
        <f t="shared" si="13"/>
        <v>3278321184</v>
      </c>
      <c r="BE49" s="29">
        <f t="shared" ref="BE49:BR49" si="18">BE48+BE47+BE46+BE45+BE44+BE43+BE42+BE41+BE40+BE39+BE38+BE37+BE36+BE35+BE34+BE33+BE32+BE31+BE30+BE29+BE28+BE27</f>
        <v>0</v>
      </c>
      <c r="BF49" s="71">
        <f t="shared" si="18"/>
        <v>147200</v>
      </c>
      <c r="BG49" s="29">
        <f t="shared" si="18"/>
        <v>400000</v>
      </c>
      <c r="BH49" s="29">
        <f t="shared" si="18"/>
        <v>3450000</v>
      </c>
      <c r="BI49" s="29">
        <f t="shared" si="18"/>
        <v>12800000</v>
      </c>
      <c r="BJ49" s="29">
        <f t="shared" si="18"/>
        <v>0</v>
      </c>
      <c r="BK49" s="29">
        <f>BK48+BK47+BK46+BK45+BK44+BK43+BK42+BK41+BK40+BK39+BK38+BK37+BK36+BK35+BK34+BK33+BK32+BK31+BK30+BK29+BK28+BK27</f>
        <v>332846</v>
      </c>
      <c r="BL49" s="29">
        <f t="shared" si="18"/>
        <v>0</v>
      </c>
      <c r="BM49" s="29">
        <f t="shared" si="18"/>
        <v>0</v>
      </c>
      <c r="BN49" s="29">
        <f t="shared" si="18"/>
        <v>0</v>
      </c>
      <c r="BO49" s="29">
        <f t="shared" si="18"/>
        <v>0</v>
      </c>
      <c r="BP49" s="29">
        <f t="shared" si="18"/>
        <v>0</v>
      </c>
      <c r="BQ49" s="29">
        <f t="shared" si="18"/>
        <v>0</v>
      </c>
      <c r="BR49" s="29">
        <f t="shared" si="18"/>
        <v>106351</v>
      </c>
      <c r="BS49" s="33">
        <f t="shared" si="14"/>
        <v>17236397</v>
      </c>
      <c r="BT49" s="29">
        <f>BT48+BT47+BT46+BT45+BT44+BT43+BT42+BT41+BT40+BT39+BT38+BT37+BT36+BT35+BT34+BT33+BT32+BT31+BT30+BT29+BT28+BT27</f>
        <v>0</v>
      </c>
    </row>
    <row r="50" spans="1:72" ht="59.25" customHeight="1" x14ac:dyDescent="0.8">
      <c r="A50" s="12"/>
      <c r="B50" s="13" t="s">
        <v>101</v>
      </c>
      <c r="C50" s="29"/>
      <c r="D50" s="29"/>
      <c r="E50" s="29"/>
      <c r="F50" s="29"/>
      <c r="G50" s="29"/>
      <c r="H50" s="29"/>
      <c r="I50" s="29"/>
      <c r="J50" s="33">
        <f>K50</f>
        <v>0</v>
      </c>
      <c r="K50" s="29"/>
      <c r="L50" s="29"/>
      <c r="M50" s="29"/>
      <c r="N50" s="29"/>
      <c r="O50" s="29"/>
      <c r="P50" s="29"/>
      <c r="Q50" s="29"/>
      <c r="R50" s="33"/>
      <c r="S50" s="33">
        <f t="shared" ref="S50:S111" si="19">T50+U50+V50+W50+X50+Y50+Z50</f>
        <v>0</v>
      </c>
      <c r="T50" s="29"/>
      <c r="U50" s="29"/>
      <c r="V50" s="29"/>
      <c r="W50" s="29"/>
      <c r="X50" s="29"/>
      <c r="Y50" s="29"/>
      <c r="Z50" s="29"/>
      <c r="AA50" s="33">
        <f t="shared" si="4"/>
        <v>0</v>
      </c>
      <c r="AB50" s="33"/>
      <c r="AC50" s="33"/>
      <c r="AD50" s="33">
        <f t="shared" si="5"/>
        <v>0</v>
      </c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33"/>
      <c r="BC50" s="33"/>
      <c r="BD50" s="33">
        <f t="shared" si="13"/>
        <v>0</v>
      </c>
      <c r="BE50" s="33"/>
      <c r="BF50" s="33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33"/>
      <c r="BR50" s="33"/>
      <c r="BS50" s="33">
        <f t="shared" si="14"/>
        <v>0</v>
      </c>
      <c r="BT50" s="29"/>
    </row>
    <row r="51" spans="1:72" ht="59.25" customHeight="1" x14ac:dyDescent="0.8">
      <c r="A51" s="12" t="s">
        <v>102</v>
      </c>
      <c r="B51" s="13" t="s">
        <v>103</v>
      </c>
      <c r="C51" s="29"/>
      <c r="D51" s="29">
        <v>3793400</v>
      </c>
      <c r="E51" s="29"/>
      <c r="F51" s="29"/>
      <c r="G51" s="29"/>
      <c r="H51" s="29"/>
      <c r="I51" s="29"/>
      <c r="J51" s="33">
        <f>K51</f>
        <v>0</v>
      </c>
      <c r="K51" s="29"/>
      <c r="L51" s="29"/>
      <c r="M51" s="29"/>
      <c r="N51" s="29">
        <v>916655</v>
      </c>
      <c r="O51" s="29">
        <v>138226</v>
      </c>
      <c r="P51" s="29">
        <v>703875</v>
      </c>
      <c r="Q51" s="29"/>
      <c r="R51" s="33"/>
      <c r="S51" s="33">
        <f t="shared" si="19"/>
        <v>1596464</v>
      </c>
      <c r="T51" s="29"/>
      <c r="U51" s="29">
        <v>1339500</v>
      </c>
      <c r="V51" s="29">
        <f>262931-5967</f>
        <v>256964</v>
      </c>
      <c r="W51" s="29"/>
      <c r="X51" s="29"/>
      <c r="Y51" s="29"/>
      <c r="Z51" s="29"/>
      <c r="AA51" s="33">
        <f t="shared" si="4"/>
        <v>389766</v>
      </c>
      <c r="AB51" s="33">
        <v>183666</v>
      </c>
      <c r="AC51" s="33">
        <v>206100</v>
      </c>
      <c r="AD51" s="33">
        <f t="shared" si="5"/>
        <v>853831</v>
      </c>
      <c r="AE51" s="29">
        <v>382194</v>
      </c>
      <c r="AF51" s="29">
        <v>273726</v>
      </c>
      <c r="AG51" s="29">
        <v>197911</v>
      </c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>
        <f>385000+100000</f>
        <v>485000</v>
      </c>
      <c r="AS51" s="29"/>
      <c r="AT51" s="29"/>
      <c r="AU51" s="29"/>
      <c r="AV51" s="29"/>
      <c r="AW51" s="29"/>
      <c r="AX51" s="29"/>
      <c r="AY51" s="29"/>
      <c r="AZ51" s="29"/>
      <c r="BA51" s="29"/>
      <c r="BB51" s="33"/>
      <c r="BC51" s="33"/>
      <c r="BD51" s="33">
        <f t="shared" si="13"/>
        <v>8877217</v>
      </c>
      <c r="BE51" s="33"/>
      <c r="BF51" s="33"/>
      <c r="BG51" s="29"/>
      <c r="BH51" s="29"/>
      <c r="BI51" s="29"/>
      <c r="BJ51" s="29"/>
      <c r="BK51" s="71">
        <v>23900</v>
      </c>
      <c r="BL51" s="29"/>
      <c r="BM51" s="29"/>
      <c r="BN51" s="29"/>
      <c r="BO51" s="29"/>
      <c r="BP51" s="29"/>
      <c r="BQ51" s="33"/>
      <c r="BR51" s="33"/>
      <c r="BS51" s="33">
        <f t="shared" si="14"/>
        <v>23900</v>
      </c>
      <c r="BT51" s="29"/>
    </row>
    <row r="52" spans="1:72" ht="59.25" customHeight="1" x14ac:dyDescent="0.8">
      <c r="A52" s="12" t="s">
        <v>104</v>
      </c>
      <c r="B52" s="13" t="s">
        <v>105</v>
      </c>
      <c r="C52" s="29"/>
      <c r="D52" s="29">
        <v>996200</v>
      </c>
      <c r="E52" s="29"/>
      <c r="F52" s="29"/>
      <c r="G52" s="29"/>
      <c r="H52" s="29"/>
      <c r="I52" s="29"/>
      <c r="J52" s="33">
        <f>K52</f>
        <v>0</v>
      </c>
      <c r="K52" s="29"/>
      <c r="L52" s="29"/>
      <c r="M52" s="29"/>
      <c r="N52" s="29"/>
      <c r="O52" s="29"/>
      <c r="P52" s="29">
        <f>554307</f>
        <v>554307</v>
      </c>
      <c r="Q52" s="29"/>
      <c r="R52" s="33"/>
      <c r="S52" s="33">
        <f t="shared" si="19"/>
        <v>60462</v>
      </c>
      <c r="T52" s="29"/>
      <c r="U52" s="29"/>
      <c r="V52" s="29">
        <f>61866-1404</f>
        <v>60462</v>
      </c>
      <c r="W52" s="29"/>
      <c r="X52" s="29"/>
      <c r="Y52" s="29"/>
      <c r="Z52" s="29"/>
      <c r="AA52" s="33">
        <f t="shared" si="4"/>
        <v>91833</v>
      </c>
      <c r="AB52" s="33">
        <v>91833</v>
      </c>
      <c r="AC52" s="33"/>
      <c r="AD52" s="33">
        <f t="shared" si="5"/>
        <v>232825</v>
      </c>
      <c r="AE52" s="29">
        <v>89928</v>
      </c>
      <c r="AF52" s="29">
        <v>70929</v>
      </c>
      <c r="AG52" s="29">
        <v>71968</v>
      </c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>
        <v>65000</v>
      </c>
      <c r="AS52" s="29"/>
      <c r="AT52" s="29"/>
      <c r="AU52" s="29"/>
      <c r="AV52" s="29"/>
      <c r="AW52" s="29"/>
      <c r="AX52" s="29"/>
      <c r="AY52" s="29"/>
      <c r="AZ52" s="29"/>
      <c r="BA52" s="29"/>
      <c r="BB52" s="33"/>
      <c r="BC52" s="33"/>
      <c r="BD52" s="33">
        <f t="shared" si="13"/>
        <v>2000627</v>
      </c>
      <c r="BE52" s="33"/>
      <c r="BF52" s="33"/>
      <c r="BG52" s="29"/>
      <c r="BH52" s="29"/>
      <c r="BI52" s="29"/>
      <c r="BJ52" s="29"/>
      <c r="BK52" s="29">
        <f>7000</f>
        <v>7000</v>
      </c>
      <c r="BL52" s="29"/>
      <c r="BM52" s="29"/>
      <c r="BN52" s="29"/>
      <c r="BO52" s="29"/>
      <c r="BP52" s="29"/>
      <c r="BQ52" s="33"/>
      <c r="BR52" s="33"/>
      <c r="BS52" s="33">
        <f t="shared" si="14"/>
        <v>7000</v>
      </c>
      <c r="BT52" s="29"/>
    </row>
    <row r="53" spans="1:72" ht="55.5" customHeight="1" x14ac:dyDescent="0.8">
      <c r="A53" s="12" t="s">
        <v>106</v>
      </c>
      <c r="B53" s="13" t="s">
        <v>107</v>
      </c>
      <c r="C53" s="29"/>
      <c r="D53" s="29">
        <v>1083400</v>
      </c>
      <c r="E53" s="29"/>
      <c r="F53" s="29"/>
      <c r="G53" s="29"/>
      <c r="H53" s="29"/>
      <c r="I53" s="29"/>
      <c r="J53" s="33">
        <f>K53</f>
        <v>0</v>
      </c>
      <c r="K53" s="29"/>
      <c r="L53" s="29"/>
      <c r="M53" s="29"/>
      <c r="N53" s="29"/>
      <c r="O53" s="29"/>
      <c r="P53" s="29"/>
      <c r="Q53" s="29"/>
      <c r="R53" s="33"/>
      <c r="S53" s="33">
        <f t="shared" si="19"/>
        <v>60462</v>
      </c>
      <c r="T53" s="29"/>
      <c r="U53" s="29"/>
      <c r="V53" s="29">
        <f>61866-1404</f>
        <v>60462</v>
      </c>
      <c r="W53" s="29"/>
      <c r="X53" s="29"/>
      <c r="Y53" s="29"/>
      <c r="Z53" s="29"/>
      <c r="AA53" s="33">
        <f t="shared" si="4"/>
        <v>122444</v>
      </c>
      <c r="AB53" s="33">
        <v>122444</v>
      </c>
      <c r="AC53" s="33"/>
      <c r="AD53" s="33">
        <f t="shared" si="5"/>
        <v>219828</v>
      </c>
      <c r="AE53" s="29">
        <v>89928</v>
      </c>
      <c r="AF53" s="29">
        <v>75924</v>
      </c>
      <c r="AG53" s="29">
        <v>53976</v>
      </c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>
        <v>65000</v>
      </c>
      <c r="AS53" s="29"/>
      <c r="AT53" s="29"/>
      <c r="AU53" s="29"/>
      <c r="AV53" s="29"/>
      <c r="AW53" s="29">
        <v>550000</v>
      </c>
      <c r="AX53" s="29"/>
      <c r="AY53" s="29"/>
      <c r="AZ53" s="29"/>
      <c r="BA53" s="29"/>
      <c r="BB53" s="33"/>
      <c r="BC53" s="33"/>
      <c r="BD53" s="33">
        <f t="shared" si="13"/>
        <v>2101134</v>
      </c>
      <c r="BE53" s="33"/>
      <c r="BF53" s="33"/>
      <c r="BG53" s="29"/>
      <c r="BH53" s="29">
        <v>2577000</v>
      </c>
      <c r="BI53" s="29"/>
      <c r="BJ53" s="29"/>
      <c r="BK53" s="29">
        <v>7600</v>
      </c>
      <c r="BL53" s="29"/>
      <c r="BM53" s="29"/>
      <c r="BN53" s="29"/>
      <c r="BO53" s="29"/>
      <c r="BP53" s="29"/>
      <c r="BQ53" s="33"/>
      <c r="BR53" s="33"/>
      <c r="BS53" s="33">
        <f t="shared" si="14"/>
        <v>2584600</v>
      </c>
      <c r="BT53" s="29"/>
    </row>
    <row r="54" spans="1:72" ht="59.25" customHeight="1" x14ac:dyDescent="0.8">
      <c r="A54" s="12" t="s">
        <v>108</v>
      </c>
      <c r="B54" s="13" t="s">
        <v>109</v>
      </c>
      <c r="C54" s="29"/>
      <c r="D54" s="29">
        <v>658200</v>
      </c>
      <c r="E54" s="29"/>
      <c r="F54" s="29"/>
      <c r="G54" s="29"/>
      <c r="H54" s="29"/>
      <c r="I54" s="29"/>
      <c r="J54" s="33">
        <f>K54</f>
        <v>0</v>
      </c>
      <c r="K54" s="29"/>
      <c r="L54" s="29"/>
      <c r="M54" s="29"/>
      <c r="N54" s="29"/>
      <c r="O54" s="29"/>
      <c r="P54" s="29"/>
      <c r="Q54" s="29"/>
      <c r="R54" s="33"/>
      <c r="S54" s="33">
        <f t="shared" si="19"/>
        <v>1399962</v>
      </c>
      <c r="T54" s="29"/>
      <c r="U54" s="29">
        <f>1339500</f>
        <v>1339500</v>
      </c>
      <c r="V54" s="29">
        <f>61866-1404</f>
        <v>60462</v>
      </c>
      <c r="W54" s="29"/>
      <c r="X54" s="29"/>
      <c r="Y54" s="29"/>
      <c r="Z54" s="29"/>
      <c r="AA54" s="33">
        <f t="shared" si="4"/>
        <v>0</v>
      </c>
      <c r="AB54" s="33"/>
      <c r="AC54" s="33"/>
      <c r="AD54" s="33">
        <f t="shared" si="5"/>
        <v>153874</v>
      </c>
      <c r="AE54" s="29">
        <v>89928</v>
      </c>
      <c r="AF54" s="29">
        <v>45954</v>
      </c>
      <c r="AG54" s="29">
        <v>17992</v>
      </c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>
        <v>30000</v>
      </c>
      <c r="AS54" s="29"/>
      <c r="AT54" s="29"/>
      <c r="AU54" s="29"/>
      <c r="AV54" s="29"/>
      <c r="AW54" s="29"/>
      <c r="AX54" s="29"/>
      <c r="AY54" s="29"/>
      <c r="AZ54" s="29"/>
      <c r="BA54" s="29"/>
      <c r="BB54" s="33"/>
      <c r="BC54" s="33"/>
      <c r="BD54" s="33">
        <f t="shared" si="13"/>
        <v>2242036</v>
      </c>
      <c r="BE54" s="33"/>
      <c r="BF54" s="33"/>
      <c r="BG54" s="29"/>
      <c r="BH54" s="29"/>
      <c r="BI54" s="29"/>
      <c r="BJ54" s="29"/>
      <c r="BK54" s="29">
        <v>4300</v>
      </c>
      <c r="BL54" s="29"/>
      <c r="BM54" s="29"/>
      <c r="BN54" s="29"/>
      <c r="BO54" s="29"/>
      <c r="BP54" s="29"/>
      <c r="BQ54" s="33"/>
      <c r="BR54" s="33"/>
      <c r="BS54" s="33">
        <f t="shared" si="14"/>
        <v>4300</v>
      </c>
      <c r="BT54" s="29"/>
    </row>
    <row r="55" spans="1:72" ht="59.25" customHeight="1" x14ac:dyDescent="0.8">
      <c r="A55" s="12" t="s">
        <v>245</v>
      </c>
      <c r="B55" s="13" t="s">
        <v>246</v>
      </c>
      <c r="C55" s="29"/>
      <c r="D55" s="29">
        <v>507100</v>
      </c>
      <c r="E55" s="29"/>
      <c r="F55" s="29"/>
      <c r="G55" s="29"/>
      <c r="H55" s="29"/>
      <c r="I55" s="29"/>
      <c r="J55" s="33"/>
      <c r="K55" s="29"/>
      <c r="L55" s="29"/>
      <c r="M55" s="29"/>
      <c r="N55" s="29"/>
      <c r="O55" s="29"/>
      <c r="P55" s="29"/>
      <c r="Q55" s="29"/>
      <c r="R55" s="33"/>
      <c r="S55" s="33">
        <f t="shared" si="19"/>
        <v>45347</v>
      </c>
      <c r="T55" s="29"/>
      <c r="U55" s="29"/>
      <c r="V55" s="29">
        <f>46400-1053</f>
        <v>45347</v>
      </c>
      <c r="W55" s="29"/>
      <c r="X55" s="29"/>
      <c r="Y55" s="29"/>
      <c r="Z55" s="29"/>
      <c r="AA55" s="33">
        <f t="shared" si="4"/>
        <v>206100</v>
      </c>
      <c r="AB55" s="33"/>
      <c r="AC55" s="33">
        <v>206100</v>
      </c>
      <c r="AD55" s="33">
        <f t="shared" si="5"/>
        <v>167386</v>
      </c>
      <c r="AE55" s="29">
        <v>67446</v>
      </c>
      <c r="AF55" s="29">
        <v>27972</v>
      </c>
      <c r="AG55" s="29">
        <v>71968</v>
      </c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33"/>
      <c r="BC55" s="33"/>
      <c r="BD55" s="33">
        <f t="shared" si="13"/>
        <v>925933</v>
      </c>
      <c r="BE55" s="33"/>
      <c r="BF55" s="33"/>
      <c r="BG55" s="29"/>
      <c r="BH55" s="29"/>
      <c r="BI55" s="29"/>
      <c r="BJ55" s="29"/>
      <c r="BK55" s="29">
        <v>3100</v>
      </c>
      <c r="BL55" s="29"/>
      <c r="BM55" s="29"/>
      <c r="BN55" s="29"/>
      <c r="BO55" s="29"/>
      <c r="BP55" s="29"/>
      <c r="BQ55" s="33"/>
      <c r="BR55" s="33"/>
      <c r="BS55" s="33">
        <f t="shared" si="14"/>
        <v>3100</v>
      </c>
      <c r="BT55" s="29"/>
    </row>
    <row r="56" spans="1:72" ht="63" customHeight="1" x14ac:dyDescent="0.8">
      <c r="A56" s="12" t="s">
        <v>110</v>
      </c>
      <c r="B56" s="13" t="s">
        <v>111</v>
      </c>
      <c r="C56" s="29"/>
      <c r="D56" s="29">
        <v>1557400</v>
      </c>
      <c r="E56" s="29"/>
      <c r="F56" s="29"/>
      <c r="G56" s="29"/>
      <c r="H56" s="29"/>
      <c r="I56" s="29"/>
      <c r="J56" s="33">
        <f t="shared" ref="J56:J64" si="20">K56</f>
        <v>0</v>
      </c>
      <c r="K56" s="29"/>
      <c r="L56" s="29"/>
      <c r="M56" s="29"/>
      <c r="N56" s="29"/>
      <c r="O56" s="29"/>
      <c r="P56" s="29">
        <v>430939</v>
      </c>
      <c r="Q56" s="29"/>
      <c r="R56" s="33"/>
      <c r="S56" s="33">
        <f t="shared" si="19"/>
        <v>136040</v>
      </c>
      <c r="T56" s="29"/>
      <c r="U56" s="29"/>
      <c r="V56" s="29">
        <f>139199-3159</f>
        <v>136040</v>
      </c>
      <c r="W56" s="29"/>
      <c r="X56" s="29"/>
      <c r="Y56" s="29"/>
      <c r="Z56" s="29"/>
      <c r="AA56" s="33">
        <f t="shared" si="4"/>
        <v>61222</v>
      </c>
      <c r="AB56" s="33">
        <v>61222</v>
      </c>
      <c r="AC56" s="33"/>
      <c r="AD56" s="33">
        <f t="shared" si="5"/>
        <v>501109</v>
      </c>
      <c r="AE56" s="29">
        <v>202338</v>
      </c>
      <c r="AF56" s="29">
        <v>172827</v>
      </c>
      <c r="AG56" s="29">
        <v>125944</v>
      </c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>
        <v>500000</v>
      </c>
      <c r="AS56" s="29"/>
      <c r="AT56" s="29"/>
      <c r="AU56" s="29"/>
      <c r="AV56" s="29"/>
      <c r="AW56" s="29"/>
      <c r="AX56" s="29"/>
      <c r="AY56" s="29"/>
      <c r="AZ56" s="29"/>
      <c r="BA56" s="29"/>
      <c r="BB56" s="33"/>
      <c r="BC56" s="33"/>
      <c r="BD56" s="33">
        <f t="shared" si="13"/>
        <v>3186710</v>
      </c>
      <c r="BE56" s="33"/>
      <c r="BF56" s="33"/>
      <c r="BG56" s="29"/>
      <c r="BH56" s="29"/>
      <c r="BI56" s="29"/>
      <c r="BJ56" s="29"/>
      <c r="BK56" s="29">
        <f>20000</f>
        <v>20000</v>
      </c>
      <c r="BL56" s="29"/>
      <c r="BM56" s="29"/>
      <c r="BN56" s="29"/>
      <c r="BO56" s="29"/>
      <c r="BP56" s="29"/>
      <c r="BQ56" s="33"/>
      <c r="BR56" s="33"/>
      <c r="BS56" s="33">
        <f t="shared" si="14"/>
        <v>20000</v>
      </c>
      <c r="BT56" s="29"/>
    </row>
    <row r="57" spans="1:72" ht="59.25" customHeight="1" x14ac:dyDescent="0.8">
      <c r="A57" s="12" t="s">
        <v>112</v>
      </c>
      <c r="B57" s="13" t="s">
        <v>113</v>
      </c>
      <c r="C57" s="29"/>
      <c r="D57" s="29">
        <v>1062800</v>
      </c>
      <c r="E57" s="29"/>
      <c r="F57" s="29"/>
      <c r="G57" s="29"/>
      <c r="H57" s="29"/>
      <c r="I57" s="29"/>
      <c r="J57" s="33">
        <f t="shared" si="20"/>
        <v>0</v>
      </c>
      <c r="K57" s="29"/>
      <c r="L57" s="29"/>
      <c r="M57" s="29"/>
      <c r="N57" s="29"/>
      <c r="O57" s="29"/>
      <c r="P57" s="29">
        <v>197814</v>
      </c>
      <c r="Q57" s="29"/>
      <c r="R57" s="33"/>
      <c r="S57" s="33">
        <f t="shared" si="19"/>
        <v>1070263.75</v>
      </c>
      <c r="T57" s="29">
        <f>267100</f>
        <v>267100</v>
      </c>
      <c r="U57" s="29"/>
      <c r="V57" s="29">
        <f>77333-1755</f>
        <v>75578</v>
      </c>
      <c r="W57" s="29"/>
      <c r="X57" s="29"/>
      <c r="Y57" s="29"/>
      <c r="Z57" s="29">
        <f>727585.75</f>
        <v>727585.75</v>
      </c>
      <c r="AA57" s="33">
        <f t="shared" si="4"/>
        <v>0</v>
      </c>
      <c r="AB57" s="33"/>
      <c r="AC57" s="33"/>
      <c r="AD57" s="33">
        <f t="shared" si="5"/>
        <v>274298</v>
      </c>
      <c r="AE57" s="29">
        <v>112410</v>
      </c>
      <c r="AF57" s="29">
        <v>71928</v>
      </c>
      <c r="AG57" s="29">
        <v>89960</v>
      </c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>
        <v>300000</v>
      </c>
      <c r="AS57" s="29"/>
      <c r="AT57" s="29"/>
      <c r="AU57" s="29"/>
      <c r="AV57" s="29"/>
      <c r="AW57" s="29"/>
      <c r="AX57" s="29"/>
      <c r="AY57" s="29"/>
      <c r="AZ57" s="29"/>
      <c r="BA57" s="29"/>
      <c r="BB57" s="33"/>
      <c r="BC57" s="33"/>
      <c r="BD57" s="33">
        <f t="shared" si="13"/>
        <v>2905175.75</v>
      </c>
      <c r="BE57" s="33"/>
      <c r="BF57" s="33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33"/>
      <c r="BR57" s="33"/>
      <c r="BS57" s="33">
        <f t="shared" si="14"/>
        <v>0</v>
      </c>
      <c r="BT57" s="29"/>
    </row>
    <row r="58" spans="1:72" ht="63" customHeight="1" x14ac:dyDescent="0.8">
      <c r="A58" s="12" t="s">
        <v>114</v>
      </c>
      <c r="B58" s="13" t="s">
        <v>115</v>
      </c>
      <c r="C58" s="29"/>
      <c r="D58" s="29">
        <v>377600</v>
      </c>
      <c r="E58" s="29"/>
      <c r="F58" s="29"/>
      <c r="G58" s="29"/>
      <c r="H58" s="29"/>
      <c r="I58" s="29"/>
      <c r="J58" s="33">
        <f t="shared" si="20"/>
        <v>0</v>
      </c>
      <c r="K58" s="29"/>
      <c r="L58" s="29"/>
      <c r="M58" s="29"/>
      <c r="N58" s="29"/>
      <c r="O58" s="29"/>
      <c r="P58" s="29"/>
      <c r="Q58" s="29"/>
      <c r="R58" s="33"/>
      <c r="S58" s="33">
        <f t="shared" si="19"/>
        <v>15116</v>
      </c>
      <c r="T58" s="29"/>
      <c r="U58" s="29"/>
      <c r="V58" s="29">
        <f>15467-351</f>
        <v>15116</v>
      </c>
      <c r="W58" s="29"/>
      <c r="X58" s="29"/>
      <c r="Y58" s="29"/>
      <c r="Z58" s="29"/>
      <c r="AA58" s="33">
        <f t="shared" si="4"/>
        <v>0</v>
      </c>
      <c r="AB58" s="33"/>
      <c r="AC58" s="33"/>
      <c r="AD58" s="33">
        <f t="shared" si="5"/>
        <v>60454</v>
      </c>
      <c r="AE58" s="29">
        <v>22482</v>
      </c>
      <c r="AF58" s="29">
        <v>19980</v>
      </c>
      <c r="AG58" s="29">
        <v>17992</v>
      </c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>
        <v>17500</v>
      </c>
      <c r="AS58" s="29"/>
      <c r="AT58" s="29"/>
      <c r="AU58" s="29"/>
      <c r="AV58" s="29"/>
      <c r="AW58" s="29"/>
      <c r="AX58" s="29"/>
      <c r="AY58" s="29"/>
      <c r="AZ58" s="29"/>
      <c r="BA58" s="29"/>
      <c r="BB58" s="33"/>
      <c r="BC58" s="33"/>
      <c r="BD58" s="33">
        <f t="shared" si="13"/>
        <v>470670</v>
      </c>
      <c r="BE58" s="33"/>
      <c r="BF58" s="33"/>
      <c r="BG58" s="29"/>
      <c r="BH58" s="29"/>
      <c r="BI58" s="29"/>
      <c r="BJ58" s="29"/>
      <c r="BK58" s="29">
        <f>2200</f>
        <v>2200</v>
      </c>
      <c r="BL58" s="29"/>
      <c r="BM58" s="29"/>
      <c r="BN58" s="29"/>
      <c r="BO58" s="29"/>
      <c r="BP58" s="29"/>
      <c r="BQ58" s="33"/>
      <c r="BR58" s="33"/>
      <c r="BS58" s="33">
        <f t="shared" si="14"/>
        <v>2200</v>
      </c>
      <c r="BT58" s="29"/>
    </row>
    <row r="59" spans="1:72" ht="59.25" customHeight="1" x14ac:dyDescent="0.8">
      <c r="A59" s="12" t="s">
        <v>162</v>
      </c>
      <c r="B59" s="13" t="s">
        <v>163</v>
      </c>
      <c r="C59" s="29"/>
      <c r="D59" s="29">
        <v>422900</v>
      </c>
      <c r="E59" s="29"/>
      <c r="F59" s="29"/>
      <c r="G59" s="29"/>
      <c r="H59" s="29"/>
      <c r="I59" s="29"/>
      <c r="J59" s="33">
        <f t="shared" si="20"/>
        <v>0</v>
      </c>
      <c r="K59" s="29"/>
      <c r="L59" s="29"/>
      <c r="M59" s="29"/>
      <c r="N59" s="29"/>
      <c r="O59" s="29"/>
      <c r="P59" s="29"/>
      <c r="Q59" s="29"/>
      <c r="R59" s="33"/>
      <c r="S59" s="33">
        <f t="shared" si="19"/>
        <v>30231</v>
      </c>
      <c r="T59" s="29"/>
      <c r="U59" s="29"/>
      <c r="V59" s="29">
        <f>30933-702</f>
        <v>30231</v>
      </c>
      <c r="W59" s="29"/>
      <c r="X59" s="29"/>
      <c r="Y59" s="29"/>
      <c r="Z59" s="29"/>
      <c r="AA59" s="33">
        <f t="shared" si="4"/>
        <v>0</v>
      </c>
      <c r="AB59" s="33"/>
      <c r="AC59" s="33"/>
      <c r="AD59" s="33">
        <f t="shared" si="5"/>
        <v>119909</v>
      </c>
      <c r="AE59" s="29">
        <v>44964</v>
      </c>
      <c r="AF59" s="29">
        <v>38961</v>
      </c>
      <c r="AG59" s="29">
        <v>35984</v>
      </c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>
        <v>17500</v>
      </c>
      <c r="AS59" s="33"/>
      <c r="AT59" s="29"/>
      <c r="AU59" s="29"/>
      <c r="AV59" s="29"/>
      <c r="AW59" s="29"/>
      <c r="AX59" s="29"/>
      <c r="AY59" s="29"/>
      <c r="AZ59" s="29"/>
      <c r="BA59" s="29"/>
      <c r="BB59" s="33"/>
      <c r="BC59" s="33"/>
      <c r="BD59" s="33">
        <f t="shared" si="13"/>
        <v>590540</v>
      </c>
      <c r="BE59" s="33"/>
      <c r="BF59" s="33"/>
      <c r="BG59" s="29"/>
      <c r="BH59" s="29"/>
      <c r="BI59" s="29"/>
      <c r="BJ59" s="29"/>
      <c r="BK59" s="29">
        <v>3700</v>
      </c>
      <c r="BL59" s="29"/>
      <c r="BM59" s="29"/>
      <c r="BN59" s="29"/>
      <c r="BO59" s="29"/>
      <c r="BP59" s="29"/>
      <c r="BQ59" s="33"/>
      <c r="BR59" s="33"/>
      <c r="BS59" s="33">
        <f t="shared" si="14"/>
        <v>3700</v>
      </c>
      <c r="BT59" s="29"/>
    </row>
    <row r="60" spans="1:72" ht="59.25" customHeight="1" x14ac:dyDescent="0.8">
      <c r="A60" s="12" t="s">
        <v>116</v>
      </c>
      <c r="B60" s="13" t="s">
        <v>117</v>
      </c>
      <c r="C60" s="29"/>
      <c r="D60" s="29">
        <v>474900</v>
      </c>
      <c r="E60" s="29"/>
      <c r="F60" s="29"/>
      <c r="G60" s="29"/>
      <c r="H60" s="29"/>
      <c r="I60" s="29"/>
      <c r="J60" s="33">
        <f t="shared" si="20"/>
        <v>0</v>
      </c>
      <c r="K60" s="29"/>
      <c r="L60" s="29"/>
      <c r="M60" s="29"/>
      <c r="N60" s="29"/>
      <c r="O60" s="29"/>
      <c r="P60" s="29"/>
      <c r="Q60" s="29"/>
      <c r="R60" s="33"/>
      <c r="S60" s="33">
        <f t="shared" si="19"/>
        <v>45347</v>
      </c>
      <c r="T60" s="29"/>
      <c r="U60" s="29"/>
      <c r="V60" s="29">
        <f>46400-1053</f>
        <v>45347</v>
      </c>
      <c r="W60" s="29"/>
      <c r="X60" s="29"/>
      <c r="Y60" s="29"/>
      <c r="Z60" s="29"/>
      <c r="AA60" s="33">
        <f t="shared" si="4"/>
        <v>0</v>
      </c>
      <c r="AB60" s="33"/>
      <c r="AC60" s="33"/>
      <c r="AD60" s="33">
        <f t="shared" si="5"/>
        <v>148385</v>
      </c>
      <c r="AE60" s="29">
        <v>67446</v>
      </c>
      <c r="AF60" s="29">
        <v>44955</v>
      </c>
      <c r="AG60" s="29">
        <v>35984</v>
      </c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>
        <v>15000</v>
      </c>
      <c r="AS60" s="29"/>
      <c r="AT60" s="29"/>
      <c r="AU60" s="29"/>
      <c r="AV60" s="29"/>
      <c r="AW60" s="29"/>
      <c r="AX60" s="29"/>
      <c r="AY60" s="29"/>
      <c r="AZ60" s="29"/>
      <c r="BA60" s="29"/>
      <c r="BB60" s="33"/>
      <c r="BC60" s="33"/>
      <c r="BD60" s="33">
        <f t="shared" si="13"/>
        <v>683632</v>
      </c>
      <c r="BE60" s="33"/>
      <c r="BF60" s="33"/>
      <c r="BG60" s="29"/>
      <c r="BH60" s="29"/>
      <c r="BI60" s="29"/>
      <c r="BJ60" s="29"/>
      <c r="BK60" s="29">
        <v>5000</v>
      </c>
      <c r="BL60" s="29"/>
      <c r="BM60" s="29"/>
      <c r="BN60" s="29"/>
      <c r="BO60" s="29"/>
      <c r="BP60" s="29"/>
      <c r="BQ60" s="33"/>
      <c r="BR60" s="33"/>
      <c r="BS60" s="33">
        <f t="shared" si="14"/>
        <v>5000</v>
      </c>
      <c r="BT60" s="29"/>
    </row>
    <row r="61" spans="1:72" ht="66.75" customHeight="1" x14ac:dyDescent="0.8">
      <c r="A61" s="12" t="s">
        <v>118</v>
      </c>
      <c r="B61" s="13" t="s">
        <v>119</v>
      </c>
      <c r="C61" s="29"/>
      <c r="D61" s="29">
        <v>325400</v>
      </c>
      <c r="E61" s="29"/>
      <c r="F61" s="29"/>
      <c r="G61" s="29"/>
      <c r="H61" s="29"/>
      <c r="I61" s="29"/>
      <c r="J61" s="33">
        <f t="shared" si="20"/>
        <v>0</v>
      </c>
      <c r="K61" s="29"/>
      <c r="L61" s="29"/>
      <c r="M61" s="29"/>
      <c r="N61" s="29"/>
      <c r="O61" s="29"/>
      <c r="P61" s="29">
        <v>211646</v>
      </c>
      <c r="Q61" s="29"/>
      <c r="R61" s="33"/>
      <c r="S61" s="33">
        <f t="shared" si="19"/>
        <v>75578</v>
      </c>
      <c r="T61" s="29"/>
      <c r="U61" s="29"/>
      <c r="V61" s="29">
        <f>77333-1755</f>
        <v>75578</v>
      </c>
      <c r="W61" s="29"/>
      <c r="X61" s="29"/>
      <c r="Y61" s="29"/>
      <c r="Z61" s="29"/>
      <c r="AA61" s="33">
        <f t="shared" si="4"/>
        <v>0</v>
      </c>
      <c r="AB61" s="33"/>
      <c r="AC61" s="33"/>
      <c r="AD61" s="33">
        <f t="shared" si="5"/>
        <v>261301</v>
      </c>
      <c r="AE61" s="29">
        <v>112410</v>
      </c>
      <c r="AF61" s="29">
        <v>76923</v>
      </c>
      <c r="AG61" s="29">
        <v>71968</v>
      </c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>
        <v>250000</v>
      </c>
      <c r="AS61" s="29"/>
      <c r="AT61" s="29"/>
      <c r="AU61" s="29"/>
      <c r="AV61" s="29"/>
      <c r="AW61" s="29"/>
      <c r="AX61" s="29"/>
      <c r="AY61" s="29"/>
      <c r="AZ61" s="29"/>
      <c r="BA61" s="29"/>
      <c r="BB61" s="33"/>
      <c r="BC61" s="33"/>
      <c r="BD61" s="33">
        <f t="shared" si="13"/>
        <v>1123925</v>
      </c>
      <c r="BE61" s="33"/>
      <c r="BF61" s="33"/>
      <c r="BG61" s="29"/>
      <c r="BH61" s="29"/>
      <c r="BI61" s="71">
        <v>16500000</v>
      </c>
      <c r="BJ61" s="29"/>
      <c r="BK61" s="29">
        <v>11200</v>
      </c>
      <c r="BL61" s="29"/>
      <c r="BM61" s="29"/>
      <c r="BN61" s="29"/>
      <c r="BO61" s="29"/>
      <c r="BP61" s="29"/>
      <c r="BQ61" s="33"/>
      <c r="BR61" s="33"/>
      <c r="BS61" s="33">
        <f t="shared" si="14"/>
        <v>16511200</v>
      </c>
      <c r="BT61" s="29"/>
    </row>
    <row r="62" spans="1:72" ht="63" customHeight="1" x14ac:dyDescent="0.8">
      <c r="A62" s="12" t="s">
        <v>120</v>
      </c>
      <c r="B62" s="13" t="s">
        <v>121</v>
      </c>
      <c r="C62" s="29"/>
      <c r="D62" s="29">
        <v>678100</v>
      </c>
      <c r="E62" s="29"/>
      <c r="F62" s="29"/>
      <c r="G62" s="29"/>
      <c r="H62" s="29"/>
      <c r="I62" s="29"/>
      <c r="J62" s="33">
        <f t="shared" si="20"/>
        <v>0</v>
      </c>
      <c r="K62" s="29"/>
      <c r="L62" s="29"/>
      <c r="M62" s="29"/>
      <c r="N62" s="29"/>
      <c r="O62" s="29"/>
      <c r="P62" s="29"/>
      <c r="Q62" s="29"/>
      <c r="R62" s="33"/>
      <c r="S62" s="33">
        <f t="shared" si="19"/>
        <v>45347</v>
      </c>
      <c r="T62" s="29"/>
      <c r="U62" s="29"/>
      <c r="V62" s="29">
        <f>46400-1053</f>
        <v>45347</v>
      </c>
      <c r="W62" s="29"/>
      <c r="X62" s="29"/>
      <c r="Y62" s="29"/>
      <c r="Z62" s="29"/>
      <c r="AA62" s="33">
        <f t="shared" si="4"/>
        <v>0</v>
      </c>
      <c r="AB62" s="33"/>
      <c r="AC62" s="33"/>
      <c r="AD62" s="33">
        <f t="shared" si="5"/>
        <v>150393</v>
      </c>
      <c r="AE62" s="29">
        <v>67446</v>
      </c>
      <c r="AF62" s="29">
        <v>28971</v>
      </c>
      <c r="AG62" s="29">
        <v>53976</v>
      </c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>
        <v>30000</v>
      </c>
      <c r="AS62" s="29"/>
      <c r="AT62" s="29"/>
      <c r="AU62" s="29"/>
      <c r="AV62" s="29"/>
      <c r="AW62" s="29"/>
      <c r="AX62" s="29"/>
      <c r="AY62" s="29"/>
      <c r="AZ62" s="29"/>
      <c r="BA62" s="29"/>
      <c r="BB62" s="33"/>
      <c r="BC62" s="33"/>
      <c r="BD62" s="33">
        <f t="shared" si="13"/>
        <v>903840</v>
      </c>
      <c r="BE62" s="33"/>
      <c r="BF62" s="33"/>
      <c r="BG62" s="29"/>
      <c r="BH62" s="29"/>
      <c r="BI62" s="29"/>
      <c r="BJ62" s="29"/>
      <c r="BK62" s="29">
        <v>4300</v>
      </c>
      <c r="BL62" s="29"/>
      <c r="BM62" s="29"/>
      <c r="BN62" s="29"/>
      <c r="BO62" s="29"/>
      <c r="BP62" s="29"/>
      <c r="BQ62" s="33"/>
      <c r="BR62" s="33"/>
      <c r="BS62" s="33">
        <f t="shared" si="14"/>
        <v>4300</v>
      </c>
      <c r="BT62" s="29"/>
    </row>
    <row r="63" spans="1:72" ht="63" customHeight="1" x14ac:dyDescent="0.8">
      <c r="A63" s="12" t="s">
        <v>122</v>
      </c>
      <c r="B63" s="13" t="s">
        <v>123</v>
      </c>
      <c r="C63" s="29"/>
      <c r="D63" s="29">
        <v>1906600</v>
      </c>
      <c r="E63" s="29"/>
      <c r="F63" s="29"/>
      <c r="G63" s="29"/>
      <c r="H63" s="29"/>
      <c r="I63" s="29"/>
      <c r="J63" s="33">
        <f t="shared" si="20"/>
        <v>0</v>
      </c>
      <c r="K63" s="29"/>
      <c r="L63" s="29"/>
      <c r="M63" s="29"/>
      <c r="N63" s="29"/>
      <c r="O63" s="29"/>
      <c r="P63" s="29"/>
      <c r="Q63" s="29"/>
      <c r="R63" s="33"/>
      <c r="S63" s="33">
        <f t="shared" si="19"/>
        <v>551155</v>
      </c>
      <c r="T63" s="29"/>
      <c r="U63" s="29"/>
      <c r="V63" s="29">
        <f>154665-3510</f>
        <v>151155</v>
      </c>
      <c r="W63" s="29">
        <f>400000</f>
        <v>400000</v>
      </c>
      <c r="X63" s="29"/>
      <c r="Y63" s="29"/>
      <c r="Z63" s="29"/>
      <c r="AA63" s="33">
        <f t="shared" si="4"/>
        <v>61222</v>
      </c>
      <c r="AB63" s="33">
        <v>61222</v>
      </c>
      <c r="AC63" s="33"/>
      <c r="AD63" s="33">
        <f t="shared" si="5"/>
        <v>480614</v>
      </c>
      <c r="AE63" s="29">
        <v>224820</v>
      </c>
      <c r="AF63" s="29">
        <v>165834</v>
      </c>
      <c r="AG63" s="29">
        <v>89960</v>
      </c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>
        <f>350000+30000</f>
        <v>380000</v>
      </c>
      <c r="AS63" s="29"/>
      <c r="AT63" s="29"/>
      <c r="AU63" s="29"/>
      <c r="AV63" s="29"/>
      <c r="AW63" s="29"/>
      <c r="AX63" s="29"/>
      <c r="AY63" s="29"/>
      <c r="AZ63" s="29"/>
      <c r="BA63" s="29"/>
      <c r="BB63" s="33"/>
      <c r="BC63" s="33"/>
      <c r="BD63" s="33">
        <f t="shared" si="13"/>
        <v>3379591</v>
      </c>
      <c r="BE63" s="33"/>
      <c r="BF63" s="33"/>
      <c r="BG63" s="29"/>
      <c r="BH63" s="29"/>
      <c r="BI63" s="29"/>
      <c r="BJ63" s="29"/>
      <c r="BK63" s="29">
        <v>14100</v>
      </c>
      <c r="BL63" s="29"/>
      <c r="BM63" s="29"/>
      <c r="BN63" s="29"/>
      <c r="BO63" s="29"/>
      <c r="BP63" s="29"/>
      <c r="BQ63" s="33"/>
      <c r="BR63" s="33"/>
      <c r="BS63" s="33">
        <f t="shared" si="14"/>
        <v>14100</v>
      </c>
      <c r="BT63" s="29"/>
    </row>
    <row r="64" spans="1:72" ht="55.5" customHeight="1" x14ac:dyDescent="0.8">
      <c r="A64" s="12" t="s">
        <v>124</v>
      </c>
      <c r="B64" s="13" t="s">
        <v>125</v>
      </c>
      <c r="C64" s="29"/>
      <c r="D64" s="29">
        <v>350000</v>
      </c>
      <c r="E64" s="29"/>
      <c r="F64" s="29"/>
      <c r="G64" s="29"/>
      <c r="H64" s="29"/>
      <c r="I64" s="29"/>
      <c r="J64" s="33">
        <f t="shared" si="20"/>
        <v>0</v>
      </c>
      <c r="K64" s="29"/>
      <c r="L64" s="29"/>
      <c r="M64" s="29"/>
      <c r="N64" s="29"/>
      <c r="O64" s="29"/>
      <c r="P64" s="29">
        <v>254324</v>
      </c>
      <c r="Q64" s="29"/>
      <c r="R64" s="33"/>
      <c r="S64" s="33">
        <f t="shared" si="19"/>
        <v>3590388</v>
      </c>
      <c r="T64" s="29">
        <v>3545041</v>
      </c>
      <c r="U64" s="29"/>
      <c r="V64" s="29">
        <f>46400-1053</f>
        <v>45347</v>
      </c>
      <c r="W64" s="29"/>
      <c r="X64" s="29"/>
      <c r="Y64" s="29"/>
      <c r="Z64" s="29"/>
      <c r="AA64" s="33">
        <f t="shared" si="4"/>
        <v>0</v>
      </c>
      <c r="AB64" s="33"/>
      <c r="AC64" s="33"/>
      <c r="AD64" s="33">
        <f t="shared" si="5"/>
        <v>156377</v>
      </c>
      <c r="AE64" s="29">
        <v>67446</v>
      </c>
      <c r="AF64" s="29">
        <v>52947</v>
      </c>
      <c r="AG64" s="29">
        <v>35984</v>
      </c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>
        <v>250000</v>
      </c>
      <c r="AS64" s="29"/>
      <c r="AT64" s="29"/>
      <c r="AU64" s="29"/>
      <c r="AV64" s="29"/>
      <c r="AW64" s="29"/>
      <c r="AX64" s="29"/>
      <c r="AY64" s="29"/>
      <c r="AZ64" s="29"/>
      <c r="BA64" s="29"/>
      <c r="BB64" s="33"/>
      <c r="BC64" s="33"/>
      <c r="BD64" s="33">
        <f t="shared" si="13"/>
        <v>4601089</v>
      </c>
      <c r="BE64" s="33"/>
      <c r="BF64" s="33"/>
      <c r="BG64" s="29"/>
      <c r="BH64" s="29"/>
      <c r="BI64" s="29"/>
      <c r="BJ64" s="29"/>
      <c r="BK64" s="29">
        <v>12000</v>
      </c>
      <c r="BL64" s="29"/>
      <c r="BM64" s="29"/>
      <c r="BN64" s="29"/>
      <c r="BO64" s="29"/>
      <c r="BP64" s="29"/>
      <c r="BQ64" s="33"/>
      <c r="BR64" s="33"/>
      <c r="BS64" s="33">
        <f t="shared" si="14"/>
        <v>12000</v>
      </c>
      <c r="BT64" s="29"/>
    </row>
    <row r="65" spans="1:72" ht="59.25" customHeight="1" x14ac:dyDescent="0.8">
      <c r="A65" s="12" t="s">
        <v>126</v>
      </c>
      <c r="B65" s="13" t="s">
        <v>193</v>
      </c>
      <c r="C65" s="29"/>
      <c r="D65" s="29">
        <v>853000</v>
      </c>
      <c r="E65" s="29"/>
      <c r="F65" s="29"/>
      <c r="G65" s="29"/>
      <c r="H65" s="29"/>
      <c r="I65" s="29"/>
      <c r="J65" s="33"/>
      <c r="K65" s="29"/>
      <c r="L65" s="29"/>
      <c r="M65" s="29"/>
      <c r="N65" s="29"/>
      <c r="O65" s="29"/>
      <c r="P65" s="29"/>
      <c r="Q65" s="29"/>
      <c r="R65" s="33"/>
      <c r="S65" s="33">
        <f t="shared" si="19"/>
        <v>105809</v>
      </c>
      <c r="T65" s="29"/>
      <c r="U65" s="29"/>
      <c r="V65" s="29">
        <f>108266-2457</f>
        <v>105809</v>
      </c>
      <c r="W65" s="29"/>
      <c r="X65" s="29"/>
      <c r="Y65" s="29"/>
      <c r="Z65" s="29"/>
      <c r="AA65" s="33">
        <f t="shared" si="4"/>
        <v>0</v>
      </c>
      <c r="AB65" s="33"/>
      <c r="AC65" s="33"/>
      <c r="AD65" s="33">
        <f t="shared" si="5"/>
        <v>428133</v>
      </c>
      <c r="AE65" s="29">
        <v>157374</v>
      </c>
      <c r="AF65" s="29">
        <v>216783</v>
      </c>
      <c r="AG65" s="29">
        <v>53976</v>
      </c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33"/>
      <c r="BC65" s="33"/>
      <c r="BD65" s="33">
        <f t="shared" si="13"/>
        <v>1386942</v>
      </c>
      <c r="BE65" s="33"/>
      <c r="BF65" s="33"/>
      <c r="BG65" s="29"/>
      <c r="BH65" s="29"/>
      <c r="BI65" s="29">
        <v>15000000</v>
      </c>
      <c r="BJ65" s="29"/>
      <c r="BK65" s="29">
        <v>14400</v>
      </c>
      <c r="BL65" s="29"/>
      <c r="BM65" s="29"/>
      <c r="BN65" s="29"/>
      <c r="BO65" s="29"/>
      <c r="BP65" s="29"/>
      <c r="BQ65" s="33"/>
      <c r="BR65" s="33"/>
      <c r="BS65" s="33">
        <f t="shared" si="14"/>
        <v>15014400</v>
      </c>
      <c r="BT65" s="29"/>
    </row>
    <row r="66" spans="1:72" ht="59.25" customHeight="1" x14ac:dyDescent="0.8">
      <c r="A66" s="12" t="s">
        <v>223</v>
      </c>
      <c r="B66" s="13" t="s">
        <v>224</v>
      </c>
      <c r="C66" s="29"/>
      <c r="D66" s="29">
        <v>356000</v>
      </c>
      <c r="E66" s="29"/>
      <c r="F66" s="29"/>
      <c r="G66" s="29"/>
      <c r="H66" s="29"/>
      <c r="I66" s="29"/>
      <c r="J66" s="33"/>
      <c r="K66" s="29"/>
      <c r="L66" s="29"/>
      <c r="M66" s="29"/>
      <c r="N66" s="29"/>
      <c r="O66" s="29"/>
      <c r="P66" s="29"/>
      <c r="Q66" s="29"/>
      <c r="R66" s="33"/>
      <c r="S66" s="33">
        <f t="shared" si="19"/>
        <v>30231</v>
      </c>
      <c r="T66" s="29"/>
      <c r="U66" s="29"/>
      <c r="V66" s="29">
        <f>30933-702</f>
        <v>30231</v>
      </c>
      <c r="W66" s="29"/>
      <c r="X66" s="29"/>
      <c r="Y66" s="29"/>
      <c r="Z66" s="29"/>
      <c r="AA66" s="33">
        <f t="shared" si="4"/>
        <v>0</v>
      </c>
      <c r="AB66" s="33"/>
      <c r="AC66" s="33"/>
      <c r="AD66" s="33">
        <f t="shared" si="5"/>
        <v>113915</v>
      </c>
      <c r="AE66" s="29">
        <v>44964</v>
      </c>
      <c r="AF66" s="29">
        <v>32967</v>
      </c>
      <c r="AG66" s="29">
        <v>35984</v>
      </c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>
        <v>70000</v>
      </c>
      <c r="AS66" s="29"/>
      <c r="AT66" s="29"/>
      <c r="AU66" s="29"/>
      <c r="AV66" s="29"/>
      <c r="AW66" s="29"/>
      <c r="AX66" s="29"/>
      <c r="AY66" s="29"/>
      <c r="AZ66" s="29"/>
      <c r="BA66" s="29"/>
      <c r="BB66" s="33"/>
      <c r="BC66" s="33"/>
      <c r="BD66" s="33">
        <f t="shared" si="13"/>
        <v>570146</v>
      </c>
      <c r="BE66" s="33"/>
      <c r="BF66" s="33"/>
      <c r="BG66" s="29"/>
      <c r="BH66" s="29"/>
      <c r="BI66" s="29"/>
      <c r="BJ66" s="29"/>
      <c r="BK66" s="29">
        <v>3468</v>
      </c>
      <c r="BL66" s="29"/>
      <c r="BM66" s="29"/>
      <c r="BN66" s="29"/>
      <c r="BO66" s="29"/>
      <c r="BP66" s="29"/>
      <c r="BQ66" s="33"/>
      <c r="BR66" s="33"/>
      <c r="BS66" s="33">
        <f t="shared" si="14"/>
        <v>3468</v>
      </c>
      <c r="BT66" s="29"/>
    </row>
    <row r="67" spans="1:72" ht="66.75" customHeight="1" x14ac:dyDescent="0.8">
      <c r="A67" s="12" t="s">
        <v>127</v>
      </c>
      <c r="B67" s="13" t="s">
        <v>128</v>
      </c>
      <c r="C67" s="29"/>
      <c r="D67" s="29">
        <v>447600</v>
      </c>
      <c r="E67" s="29"/>
      <c r="F67" s="29"/>
      <c r="G67" s="29"/>
      <c r="H67" s="29"/>
      <c r="I67" s="29"/>
      <c r="J67" s="33">
        <f>K67</f>
        <v>0</v>
      </c>
      <c r="K67" s="29"/>
      <c r="L67" s="29"/>
      <c r="M67" s="29"/>
      <c r="N67" s="29"/>
      <c r="O67" s="29"/>
      <c r="P67" s="29"/>
      <c r="Q67" s="29"/>
      <c r="R67" s="33"/>
      <c r="S67" s="33">
        <f t="shared" si="19"/>
        <v>45347</v>
      </c>
      <c r="T67" s="29"/>
      <c r="U67" s="29"/>
      <c r="V67" s="29">
        <f>46400-1053</f>
        <v>45347</v>
      </c>
      <c r="W67" s="29"/>
      <c r="X67" s="29"/>
      <c r="Y67" s="29"/>
      <c r="Z67" s="29"/>
      <c r="AA67" s="33">
        <f t="shared" si="4"/>
        <v>61222</v>
      </c>
      <c r="AB67" s="33">
        <v>61222</v>
      </c>
      <c r="AC67" s="33"/>
      <c r="AD67" s="33">
        <f t="shared" si="5"/>
        <v>154379</v>
      </c>
      <c r="AE67" s="29">
        <v>67446</v>
      </c>
      <c r="AF67" s="29">
        <v>50949</v>
      </c>
      <c r="AG67" s="29">
        <v>35984</v>
      </c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>
        <v>50000</v>
      </c>
      <c r="AS67" s="29"/>
      <c r="AT67" s="29"/>
      <c r="AU67" s="29"/>
      <c r="AV67" s="29"/>
      <c r="AW67" s="29"/>
      <c r="AX67" s="29"/>
      <c r="AY67" s="29"/>
      <c r="AZ67" s="29"/>
      <c r="BA67" s="29"/>
      <c r="BB67" s="33"/>
      <c r="BC67" s="33"/>
      <c r="BD67" s="33">
        <f t="shared" si="13"/>
        <v>758548</v>
      </c>
      <c r="BE67" s="33"/>
      <c r="BF67" s="33"/>
      <c r="BG67" s="29"/>
      <c r="BH67" s="29"/>
      <c r="BI67" s="29"/>
      <c r="BJ67" s="29"/>
      <c r="BK67" s="29">
        <v>5100</v>
      </c>
      <c r="BL67" s="29"/>
      <c r="BM67" s="29"/>
      <c r="BN67" s="29"/>
      <c r="BO67" s="29"/>
      <c r="BP67" s="29"/>
      <c r="BQ67" s="33"/>
      <c r="BR67" s="33"/>
      <c r="BS67" s="33">
        <f t="shared" si="14"/>
        <v>5100</v>
      </c>
      <c r="BT67" s="29"/>
    </row>
    <row r="68" spans="1:72" ht="63" customHeight="1" x14ac:dyDescent="0.8">
      <c r="A68" s="12" t="s">
        <v>129</v>
      </c>
      <c r="B68" s="13" t="s">
        <v>130</v>
      </c>
      <c r="C68" s="29"/>
      <c r="D68" s="29">
        <v>896000</v>
      </c>
      <c r="E68" s="29"/>
      <c r="F68" s="29"/>
      <c r="G68" s="29"/>
      <c r="H68" s="29"/>
      <c r="I68" s="29"/>
      <c r="J68" s="33">
        <f>K68</f>
        <v>0</v>
      </c>
      <c r="K68" s="29"/>
      <c r="L68" s="29"/>
      <c r="M68" s="29"/>
      <c r="N68" s="29"/>
      <c r="O68" s="29"/>
      <c r="P68" s="29">
        <v>109534</v>
      </c>
      <c r="Q68" s="29"/>
      <c r="R68" s="33"/>
      <c r="S68" s="33">
        <f t="shared" si="19"/>
        <v>60462</v>
      </c>
      <c r="T68" s="29"/>
      <c r="U68" s="29"/>
      <c r="V68" s="29">
        <f>61866-1404</f>
        <v>60462</v>
      </c>
      <c r="W68" s="29"/>
      <c r="X68" s="29"/>
      <c r="Y68" s="29"/>
      <c r="Z68" s="29"/>
      <c r="AA68" s="33">
        <f t="shared" si="4"/>
        <v>0</v>
      </c>
      <c r="AB68" s="33"/>
      <c r="AC68" s="33"/>
      <c r="AD68" s="33">
        <f t="shared" si="5"/>
        <v>174863</v>
      </c>
      <c r="AE68" s="29">
        <v>89928</v>
      </c>
      <c r="AF68" s="29">
        <v>48951</v>
      </c>
      <c r="AG68" s="29">
        <v>35984</v>
      </c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>
        <v>50000</v>
      </c>
      <c r="AS68" s="29"/>
      <c r="AT68" s="29"/>
      <c r="AU68" s="29"/>
      <c r="AV68" s="29"/>
      <c r="AW68" s="29"/>
      <c r="AX68" s="29"/>
      <c r="AY68" s="29"/>
      <c r="AZ68" s="29"/>
      <c r="BA68" s="29"/>
      <c r="BB68" s="33"/>
      <c r="BC68" s="33"/>
      <c r="BD68" s="33">
        <f t="shared" si="13"/>
        <v>1290859</v>
      </c>
      <c r="BE68" s="33"/>
      <c r="BF68" s="33"/>
      <c r="BG68" s="29"/>
      <c r="BH68" s="29">
        <v>350000</v>
      </c>
      <c r="BI68" s="29"/>
      <c r="BJ68" s="29"/>
      <c r="BK68" s="29">
        <f>7000-1200</f>
        <v>5800</v>
      </c>
      <c r="BL68" s="29"/>
      <c r="BM68" s="29"/>
      <c r="BN68" s="29"/>
      <c r="BO68" s="29"/>
      <c r="BP68" s="29"/>
      <c r="BQ68" s="33"/>
      <c r="BR68" s="33"/>
      <c r="BS68" s="33">
        <f t="shared" si="14"/>
        <v>355800</v>
      </c>
      <c r="BT68" s="29"/>
    </row>
    <row r="69" spans="1:72" ht="63" customHeight="1" x14ac:dyDescent="0.8">
      <c r="A69" s="12" t="s">
        <v>131</v>
      </c>
      <c r="B69" s="13" t="s">
        <v>132</v>
      </c>
      <c r="C69" s="29"/>
      <c r="D69" s="29">
        <v>1692700</v>
      </c>
      <c r="E69" s="29"/>
      <c r="F69" s="29"/>
      <c r="G69" s="29"/>
      <c r="H69" s="29"/>
      <c r="I69" s="29"/>
      <c r="J69" s="33">
        <f>K69</f>
        <v>0</v>
      </c>
      <c r="K69" s="29"/>
      <c r="L69" s="29"/>
      <c r="M69" s="29"/>
      <c r="N69" s="29">
        <v>734624</v>
      </c>
      <c r="O69" s="29">
        <f>110777</f>
        <v>110777</v>
      </c>
      <c r="P69" s="29"/>
      <c r="Q69" s="29"/>
      <c r="R69" s="33"/>
      <c r="S69" s="33">
        <f t="shared" si="19"/>
        <v>1490655</v>
      </c>
      <c r="T69" s="29"/>
      <c r="U69" s="29">
        <f>1339500</f>
        <v>1339500</v>
      </c>
      <c r="V69" s="29">
        <f>154665-3510</f>
        <v>151155</v>
      </c>
      <c r="W69" s="29"/>
      <c r="X69" s="29"/>
      <c r="Y69" s="29"/>
      <c r="Z69" s="29"/>
      <c r="AA69" s="33">
        <f t="shared" si="4"/>
        <v>183666</v>
      </c>
      <c r="AB69" s="33">
        <v>183666</v>
      </c>
      <c r="AC69" s="33"/>
      <c r="AD69" s="33">
        <f t="shared" si="5"/>
        <v>549565</v>
      </c>
      <c r="AE69" s="29">
        <v>224820</v>
      </c>
      <c r="AF69" s="29">
        <v>198801</v>
      </c>
      <c r="AG69" s="29">
        <v>125944</v>
      </c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>
        <v>50000</v>
      </c>
      <c r="AS69" s="29"/>
      <c r="AT69" s="29"/>
      <c r="AU69" s="29"/>
      <c r="AV69" s="29"/>
      <c r="AW69" s="29"/>
      <c r="AX69" s="29"/>
      <c r="AY69" s="29"/>
      <c r="AZ69" s="29"/>
      <c r="BA69" s="29"/>
      <c r="BB69" s="33"/>
      <c r="BC69" s="33"/>
      <c r="BD69" s="33">
        <f t="shared" si="13"/>
        <v>4811987</v>
      </c>
      <c r="BE69" s="33"/>
      <c r="BF69" s="33"/>
      <c r="BG69" s="29"/>
      <c r="BH69" s="29"/>
      <c r="BI69" s="29">
        <v>2000000</v>
      </c>
      <c r="BJ69" s="29"/>
      <c r="BK69" s="29">
        <v>16700</v>
      </c>
      <c r="BL69" s="29"/>
      <c r="BM69" s="29"/>
      <c r="BN69" s="29"/>
      <c r="BO69" s="29"/>
      <c r="BP69" s="29"/>
      <c r="BQ69" s="33"/>
      <c r="BR69" s="33"/>
      <c r="BS69" s="33">
        <f t="shared" si="14"/>
        <v>2016700</v>
      </c>
      <c r="BT69" s="29"/>
    </row>
    <row r="70" spans="1:72" ht="63" customHeight="1" x14ac:dyDescent="0.8">
      <c r="A70" s="12" t="s">
        <v>196</v>
      </c>
      <c r="B70" s="13" t="s">
        <v>197</v>
      </c>
      <c r="C70" s="29"/>
      <c r="D70" s="29">
        <v>421200</v>
      </c>
      <c r="E70" s="29"/>
      <c r="F70" s="29"/>
      <c r="G70" s="29"/>
      <c r="H70" s="29"/>
      <c r="I70" s="29"/>
      <c r="J70" s="33"/>
      <c r="K70" s="29"/>
      <c r="L70" s="29"/>
      <c r="M70" s="29"/>
      <c r="N70" s="29"/>
      <c r="O70" s="29"/>
      <c r="P70" s="29"/>
      <c r="Q70" s="29"/>
      <c r="R70" s="33"/>
      <c r="S70" s="33">
        <f t="shared" si="19"/>
        <v>30231</v>
      </c>
      <c r="T70" s="29"/>
      <c r="U70" s="29"/>
      <c r="V70" s="29">
        <f>30933-702</f>
        <v>30231</v>
      </c>
      <c r="W70" s="29"/>
      <c r="X70" s="29"/>
      <c r="Y70" s="29"/>
      <c r="Z70" s="29"/>
      <c r="AA70" s="33">
        <f t="shared" si="4"/>
        <v>0</v>
      </c>
      <c r="AB70" s="33"/>
      <c r="AC70" s="33"/>
      <c r="AD70" s="33">
        <f t="shared" si="5"/>
        <v>118910</v>
      </c>
      <c r="AE70" s="29">
        <v>44964</v>
      </c>
      <c r="AF70" s="29">
        <v>37962</v>
      </c>
      <c r="AG70" s="29">
        <v>35984</v>
      </c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33"/>
      <c r="BC70" s="33"/>
      <c r="BD70" s="33">
        <f t="shared" si="13"/>
        <v>570341</v>
      </c>
      <c r="BE70" s="33"/>
      <c r="BF70" s="33"/>
      <c r="BG70" s="29"/>
      <c r="BH70" s="29"/>
      <c r="BI70" s="29"/>
      <c r="BJ70" s="29"/>
      <c r="BK70" s="29">
        <v>3900</v>
      </c>
      <c r="BL70" s="29"/>
      <c r="BM70" s="29"/>
      <c r="BN70" s="29"/>
      <c r="BO70" s="29"/>
      <c r="BP70" s="29"/>
      <c r="BQ70" s="33"/>
      <c r="BR70" s="33"/>
      <c r="BS70" s="33">
        <f t="shared" si="14"/>
        <v>3900</v>
      </c>
      <c r="BT70" s="29"/>
    </row>
    <row r="71" spans="1:72" ht="59.25" customHeight="1" x14ac:dyDescent="0.8">
      <c r="A71" s="12" t="s">
        <v>133</v>
      </c>
      <c r="B71" s="13" t="s">
        <v>134</v>
      </c>
      <c r="C71" s="29"/>
      <c r="D71" s="29">
        <v>1258500</v>
      </c>
      <c r="E71" s="29"/>
      <c r="F71" s="29"/>
      <c r="G71" s="29"/>
      <c r="H71" s="29"/>
      <c r="I71" s="29"/>
      <c r="J71" s="33">
        <f>K71</f>
        <v>0</v>
      </c>
      <c r="K71" s="29"/>
      <c r="L71" s="29"/>
      <c r="M71" s="29"/>
      <c r="N71" s="29"/>
      <c r="O71" s="29"/>
      <c r="P71" s="29">
        <f>124041</f>
        <v>124041</v>
      </c>
      <c r="Q71" s="29"/>
      <c r="R71" s="33"/>
      <c r="S71" s="33">
        <f t="shared" si="19"/>
        <v>90693</v>
      </c>
      <c r="T71" s="29"/>
      <c r="U71" s="29"/>
      <c r="V71" s="29">
        <f>92799-2106</f>
        <v>90693</v>
      </c>
      <c r="W71" s="29"/>
      <c r="X71" s="29"/>
      <c r="Y71" s="29"/>
      <c r="Z71" s="29"/>
      <c r="AA71" s="33">
        <f t="shared" si="4"/>
        <v>481599</v>
      </c>
      <c r="AB71" s="33">
        <v>275499</v>
      </c>
      <c r="AC71" s="33">
        <v>206100</v>
      </c>
      <c r="AD71" s="33">
        <f t="shared" si="5"/>
        <v>322744</v>
      </c>
      <c r="AE71" s="29">
        <v>134892</v>
      </c>
      <c r="AF71" s="29">
        <v>115884</v>
      </c>
      <c r="AG71" s="29">
        <v>71968</v>
      </c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>
        <v>150000</v>
      </c>
      <c r="AS71" s="29"/>
      <c r="AT71" s="29"/>
      <c r="AU71" s="29"/>
      <c r="AV71" s="29"/>
      <c r="AW71" s="29"/>
      <c r="AX71" s="29"/>
      <c r="AY71" s="29"/>
      <c r="AZ71" s="29"/>
      <c r="BA71" s="29"/>
      <c r="BB71" s="33"/>
      <c r="BC71" s="33"/>
      <c r="BD71" s="33">
        <f t="shared" si="13"/>
        <v>2427577</v>
      </c>
      <c r="BE71" s="33"/>
      <c r="BF71" s="33"/>
      <c r="BG71" s="29"/>
      <c r="BH71" s="29">
        <v>1000000</v>
      </c>
      <c r="BI71" s="29"/>
      <c r="BJ71" s="29"/>
      <c r="BK71" s="29">
        <f>8831</f>
        <v>8831</v>
      </c>
      <c r="BL71" s="29"/>
      <c r="BM71" s="29"/>
      <c r="BN71" s="29"/>
      <c r="BO71" s="29"/>
      <c r="BP71" s="29"/>
      <c r="BQ71" s="33"/>
      <c r="BR71" s="33"/>
      <c r="BS71" s="33">
        <f t="shared" si="14"/>
        <v>1008831</v>
      </c>
      <c r="BT71" s="29"/>
    </row>
    <row r="72" spans="1:72" ht="63" customHeight="1" x14ac:dyDescent="0.8">
      <c r="A72" s="12" t="s">
        <v>243</v>
      </c>
      <c r="B72" s="13" t="s">
        <v>244</v>
      </c>
      <c r="C72" s="29"/>
      <c r="D72" s="29">
        <v>624900</v>
      </c>
      <c r="E72" s="29"/>
      <c r="F72" s="29"/>
      <c r="G72" s="29"/>
      <c r="H72" s="29"/>
      <c r="I72" s="29"/>
      <c r="J72" s="33"/>
      <c r="K72" s="29"/>
      <c r="L72" s="29"/>
      <c r="M72" s="29"/>
      <c r="N72" s="29"/>
      <c r="O72" s="29"/>
      <c r="P72" s="29"/>
      <c r="Q72" s="29"/>
      <c r="R72" s="33"/>
      <c r="S72" s="33">
        <f t="shared" si="19"/>
        <v>1369731</v>
      </c>
      <c r="T72" s="29"/>
      <c r="U72" s="29">
        <v>1339500</v>
      </c>
      <c r="V72" s="29">
        <f>30933-702</f>
        <v>30231</v>
      </c>
      <c r="W72" s="29"/>
      <c r="X72" s="29"/>
      <c r="Y72" s="29"/>
      <c r="Z72" s="29"/>
      <c r="AA72" s="33">
        <f t="shared" si="4"/>
        <v>0</v>
      </c>
      <c r="AB72" s="33"/>
      <c r="AC72" s="33"/>
      <c r="AD72" s="33">
        <f t="shared" si="5"/>
        <v>111917</v>
      </c>
      <c r="AE72" s="29">
        <v>44964</v>
      </c>
      <c r="AF72" s="29">
        <v>30969</v>
      </c>
      <c r="AG72" s="29">
        <v>35984</v>
      </c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33"/>
      <c r="BC72" s="33"/>
      <c r="BD72" s="33">
        <f t="shared" si="13"/>
        <v>2106548</v>
      </c>
      <c r="BE72" s="33"/>
      <c r="BF72" s="33"/>
      <c r="BG72" s="29"/>
      <c r="BH72" s="29"/>
      <c r="BI72" s="29"/>
      <c r="BJ72" s="29"/>
      <c r="BK72" s="29">
        <v>3500</v>
      </c>
      <c r="BL72" s="29"/>
      <c r="BM72" s="29"/>
      <c r="BN72" s="29"/>
      <c r="BO72" s="29"/>
      <c r="BP72" s="29"/>
      <c r="BQ72" s="33"/>
      <c r="BR72" s="33"/>
      <c r="BS72" s="33">
        <f t="shared" si="14"/>
        <v>3500</v>
      </c>
      <c r="BT72" s="29"/>
    </row>
    <row r="73" spans="1:72" ht="66.75" customHeight="1" x14ac:dyDescent="0.8">
      <c r="A73" s="12" t="s">
        <v>241</v>
      </c>
      <c r="B73" s="13" t="s">
        <v>242</v>
      </c>
      <c r="C73" s="29"/>
      <c r="D73" s="29">
        <v>2353400</v>
      </c>
      <c r="E73" s="29"/>
      <c r="F73" s="29"/>
      <c r="G73" s="29"/>
      <c r="H73" s="29"/>
      <c r="I73" s="29"/>
      <c r="J73" s="33"/>
      <c r="K73" s="29"/>
      <c r="L73" s="29"/>
      <c r="M73" s="29"/>
      <c r="N73" s="29"/>
      <c r="O73" s="29"/>
      <c r="P73" s="29"/>
      <c r="Q73" s="29"/>
      <c r="R73" s="33"/>
      <c r="S73" s="33">
        <f t="shared" si="19"/>
        <v>1505771</v>
      </c>
      <c r="T73" s="29"/>
      <c r="U73" s="29">
        <v>1339500</v>
      </c>
      <c r="V73" s="29">
        <f>170132-3861</f>
        <v>166271</v>
      </c>
      <c r="W73" s="29"/>
      <c r="X73" s="29"/>
      <c r="Y73" s="29"/>
      <c r="Z73" s="29"/>
      <c r="AA73" s="33">
        <f t="shared" si="4"/>
        <v>542821</v>
      </c>
      <c r="AB73" s="33">
        <v>336721</v>
      </c>
      <c r="AC73" s="33">
        <v>206100</v>
      </c>
      <c r="AD73" s="33">
        <f t="shared" si="5"/>
        <v>518081</v>
      </c>
      <c r="AE73" s="29">
        <v>247302</v>
      </c>
      <c r="AF73" s="29">
        <v>180819</v>
      </c>
      <c r="AG73" s="29">
        <v>89960</v>
      </c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>
        <v>550000</v>
      </c>
      <c r="AX73" s="29"/>
      <c r="AY73" s="29"/>
      <c r="AZ73" s="29"/>
      <c r="BA73" s="29"/>
      <c r="BB73" s="33"/>
      <c r="BC73" s="33"/>
      <c r="BD73" s="33">
        <f t="shared" si="13"/>
        <v>5470073</v>
      </c>
      <c r="BE73" s="33"/>
      <c r="BF73" s="33"/>
      <c r="BG73" s="29"/>
      <c r="BH73" s="29"/>
      <c r="BI73" s="29"/>
      <c r="BJ73" s="29"/>
      <c r="BK73" s="29">
        <v>17200</v>
      </c>
      <c r="BL73" s="29"/>
      <c r="BM73" s="29"/>
      <c r="BN73" s="29"/>
      <c r="BO73" s="29"/>
      <c r="BP73" s="29"/>
      <c r="BQ73" s="33"/>
      <c r="BR73" s="33"/>
      <c r="BS73" s="33">
        <f t="shared" si="14"/>
        <v>17200</v>
      </c>
      <c r="BT73" s="29"/>
    </row>
    <row r="74" spans="1:72" ht="59.25" customHeight="1" x14ac:dyDescent="0.8">
      <c r="A74" s="12" t="s">
        <v>135</v>
      </c>
      <c r="B74" s="13" t="s">
        <v>136</v>
      </c>
      <c r="C74" s="29"/>
      <c r="D74" s="29">
        <v>431300</v>
      </c>
      <c r="E74" s="29"/>
      <c r="F74" s="29"/>
      <c r="G74" s="29"/>
      <c r="H74" s="29"/>
      <c r="I74" s="29"/>
      <c r="J74" s="33">
        <f>K74</f>
        <v>0</v>
      </c>
      <c r="K74" s="29"/>
      <c r="L74" s="29"/>
      <c r="M74" s="29"/>
      <c r="N74" s="29"/>
      <c r="O74" s="29"/>
      <c r="P74" s="29"/>
      <c r="Q74" s="29"/>
      <c r="R74" s="33"/>
      <c r="S74" s="33">
        <f t="shared" si="19"/>
        <v>45347</v>
      </c>
      <c r="T74" s="29"/>
      <c r="U74" s="29"/>
      <c r="V74" s="29">
        <f>46400-1053</f>
        <v>45347</v>
      </c>
      <c r="W74" s="29"/>
      <c r="X74" s="29"/>
      <c r="Y74" s="29"/>
      <c r="Z74" s="29"/>
      <c r="AA74" s="33">
        <f t="shared" si="4"/>
        <v>0</v>
      </c>
      <c r="AB74" s="33"/>
      <c r="AC74" s="33"/>
      <c r="AD74" s="33">
        <f t="shared" si="5"/>
        <v>155378</v>
      </c>
      <c r="AE74" s="29">
        <v>67446</v>
      </c>
      <c r="AF74" s="29">
        <v>51948</v>
      </c>
      <c r="AG74" s="29">
        <v>35984</v>
      </c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>
        <v>100000</v>
      </c>
      <c r="AS74" s="29"/>
      <c r="AT74" s="29"/>
      <c r="AU74" s="29"/>
      <c r="AV74" s="29"/>
      <c r="AW74" s="29"/>
      <c r="AX74" s="29"/>
      <c r="AY74" s="29"/>
      <c r="AZ74" s="29"/>
      <c r="BA74" s="29"/>
      <c r="BB74" s="33"/>
      <c r="BC74" s="33"/>
      <c r="BD74" s="33">
        <f t="shared" si="13"/>
        <v>732025</v>
      </c>
      <c r="BE74" s="33"/>
      <c r="BF74" s="33"/>
      <c r="BG74" s="29"/>
      <c r="BH74" s="71">
        <v>500000</v>
      </c>
      <c r="BI74" s="71">
        <v>100000</v>
      </c>
      <c r="BJ74" s="29"/>
      <c r="BK74" s="29">
        <v>3200</v>
      </c>
      <c r="BL74" s="29"/>
      <c r="BM74" s="29"/>
      <c r="BN74" s="29"/>
      <c r="BO74" s="29"/>
      <c r="BP74" s="29"/>
      <c r="BQ74" s="33"/>
      <c r="BR74" s="33"/>
      <c r="BS74" s="33">
        <f t="shared" si="14"/>
        <v>603200</v>
      </c>
      <c r="BT74" s="29"/>
    </row>
    <row r="75" spans="1:72" ht="59.25" customHeight="1" x14ac:dyDescent="0.8">
      <c r="A75" s="12" t="s">
        <v>230</v>
      </c>
      <c r="B75" s="13" t="s">
        <v>231</v>
      </c>
      <c r="C75" s="29"/>
      <c r="D75" s="29">
        <v>1208800</v>
      </c>
      <c r="E75" s="29"/>
      <c r="F75" s="29"/>
      <c r="G75" s="29"/>
      <c r="H75" s="29"/>
      <c r="I75" s="29"/>
      <c r="J75" s="33"/>
      <c r="K75" s="29"/>
      <c r="L75" s="29"/>
      <c r="M75" s="29"/>
      <c r="N75" s="29">
        <v>390066</v>
      </c>
      <c r="O75" s="29">
        <f>58820</f>
        <v>58820</v>
      </c>
      <c r="P75" s="29"/>
      <c r="Q75" s="29"/>
      <c r="R75" s="33"/>
      <c r="S75" s="33">
        <f t="shared" si="19"/>
        <v>4975234</v>
      </c>
      <c r="T75" s="29">
        <v>3545041</v>
      </c>
      <c r="U75" s="29">
        <f>1339500</f>
        <v>1339500</v>
      </c>
      <c r="V75" s="29">
        <f>92799-2106</f>
        <v>90693</v>
      </c>
      <c r="W75" s="29"/>
      <c r="X75" s="29"/>
      <c r="Y75" s="29"/>
      <c r="Z75" s="29"/>
      <c r="AA75" s="33">
        <f t="shared" si="4"/>
        <v>0</v>
      </c>
      <c r="AB75" s="33"/>
      <c r="AC75" s="33"/>
      <c r="AD75" s="33">
        <f t="shared" si="5"/>
        <v>254782</v>
      </c>
      <c r="AE75" s="29">
        <v>134892</v>
      </c>
      <c r="AF75" s="29">
        <v>101898</v>
      </c>
      <c r="AG75" s="29">
        <v>17992</v>
      </c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33"/>
      <c r="BC75" s="33"/>
      <c r="BD75" s="33">
        <f t="shared" si="13"/>
        <v>6887702</v>
      </c>
      <c r="BE75" s="33"/>
      <c r="BF75" s="33"/>
      <c r="BG75" s="29"/>
      <c r="BH75" s="29">
        <v>500000</v>
      </c>
      <c r="BI75" s="29"/>
      <c r="BJ75" s="29"/>
      <c r="BK75" s="29">
        <v>8300</v>
      </c>
      <c r="BL75" s="29"/>
      <c r="BM75" s="29"/>
      <c r="BN75" s="29"/>
      <c r="BO75" s="29"/>
      <c r="BP75" s="29"/>
      <c r="BQ75" s="33"/>
      <c r="BR75" s="33"/>
      <c r="BS75" s="33">
        <f t="shared" si="14"/>
        <v>508300</v>
      </c>
      <c r="BT75" s="29"/>
    </row>
    <row r="76" spans="1:72" ht="63" customHeight="1" x14ac:dyDescent="0.8">
      <c r="A76" s="12" t="s">
        <v>198</v>
      </c>
      <c r="B76" s="13" t="s">
        <v>199</v>
      </c>
      <c r="C76" s="29"/>
      <c r="D76" s="29">
        <v>1934300</v>
      </c>
      <c r="E76" s="29"/>
      <c r="F76" s="29"/>
      <c r="G76" s="29"/>
      <c r="H76" s="29"/>
      <c r="I76" s="29"/>
      <c r="J76" s="33"/>
      <c r="K76" s="29"/>
      <c r="L76" s="29"/>
      <c r="M76" s="29"/>
      <c r="N76" s="29">
        <v>494084</v>
      </c>
      <c r="O76" s="29">
        <f>74505</f>
        <v>74505</v>
      </c>
      <c r="P76" s="29"/>
      <c r="Q76" s="29"/>
      <c r="R76" s="33"/>
      <c r="S76" s="33">
        <f t="shared" si="19"/>
        <v>1520886</v>
      </c>
      <c r="T76" s="29"/>
      <c r="U76" s="29">
        <f>1339500</f>
        <v>1339500</v>
      </c>
      <c r="V76" s="29">
        <f>185598-4212</f>
        <v>181386</v>
      </c>
      <c r="W76" s="29"/>
      <c r="X76" s="29"/>
      <c r="Y76" s="29"/>
      <c r="Z76" s="29"/>
      <c r="AA76" s="33">
        <f t="shared" si="4"/>
        <v>206100</v>
      </c>
      <c r="AB76" s="33"/>
      <c r="AC76" s="33">
        <v>206100</v>
      </c>
      <c r="AD76" s="33">
        <f t="shared" si="5"/>
        <v>576537</v>
      </c>
      <c r="AE76" s="29">
        <v>269784</v>
      </c>
      <c r="AF76" s="29">
        <v>198801</v>
      </c>
      <c r="AG76" s="29">
        <v>107952</v>
      </c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33"/>
      <c r="BC76" s="33"/>
      <c r="BD76" s="33">
        <f t="shared" si="13"/>
        <v>4806412</v>
      </c>
      <c r="BE76" s="33"/>
      <c r="BF76" s="33"/>
      <c r="BG76" s="29"/>
      <c r="BH76" s="29"/>
      <c r="BI76" s="29"/>
      <c r="BJ76" s="29"/>
      <c r="BK76" s="29">
        <v>15000</v>
      </c>
      <c r="BL76" s="29"/>
      <c r="BM76" s="29"/>
      <c r="BN76" s="29"/>
      <c r="BO76" s="29"/>
      <c r="BP76" s="29"/>
      <c r="BQ76" s="33"/>
      <c r="BR76" s="33"/>
      <c r="BS76" s="33">
        <f t="shared" si="14"/>
        <v>15000</v>
      </c>
      <c r="BT76" s="29"/>
    </row>
    <row r="77" spans="1:72" ht="63" customHeight="1" x14ac:dyDescent="0.8">
      <c r="A77" s="12" t="s">
        <v>137</v>
      </c>
      <c r="B77" s="13" t="s">
        <v>138</v>
      </c>
      <c r="C77" s="29"/>
      <c r="D77" s="29">
        <v>1476900</v>
      </c>
      <c r="E77" s="29"/>
      <c r="F77" s="29"/>
      <c r="G77" s="29"/>
      <c r="H77" s="29"/>
      <c r="I77" s="29"/>
      <c r="J77" s="33">
        <f>K77</f>
        <v>0</v>
      </c>
      <c r="K77" s="29"/>
      <c r="L77" s="29"/>
      <c r="M77" s="29"/>
      <c r="N77" s="29">
        <v>650110</v>
      </c>
      <c r="O77" s="29">
        <f>98033</f>
        <v>98033</v>
      </c>
      <c r="P77" s="29">
        <f>297452</f>
        <v>297452</v>
      </c>
      <c r="Q77" s="29"/>
      <c r="R77" s="33"/>
      <c r="S77" s="33">
        <f t="shared" si="19"/>
        <v>1475540</v>
      </c>
      <c r="T77" s="29"/>
      <c r="U77" s="29">
        <v>1339500</v>
      </c>
      <c r="V77" s="29">
        <f>139199-3159</f>
        <v>136040</v>
      </c>
      <c r="W77" s="29"/>
      <c r="X77" s="29"/>
      <c r="Y77" s="29"/>
      <c r="Z77" s="29"/>
      <c r="AA77" s="33">
        <f t="shared" si="4"/>
        <v>267322</v>
      </c>
      <c r="AB77" s="33">
        <v>61222</v>
      </c>
      <c r="AC77" s="33">
        <v>206100</v>
      </c>
      <c r="AD77" s="33">
        <f t="shared" si="5"/>
        <v>480120</v>
      </c>
      <c r="AE77" s="29">
        <v>202338</v>
      </c>
      <c r="AF77" s="29">
        <v>169830</v>
      </c>
      <c r="AG77" s="29">
        <v>107952</v>
      </c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>
        <v>67500</v>
      </c>
      <c r="AS77" s="29"/>
      <c r="AT77" s="29"/>
      <c r="AU77" s="29"/>
      <c r="AV77" s="29"/>
      <c r="AW77" s="29"/>
      <c r="AX77" s="29"/>
      <c r="AY77" s="29"/>
      <c r="AZ77" s="29"/>
      <c r="BA77" s="29"/>
      <c r="BB77" s="33"/>
      <c r="BC77" s="33"/>
      <c r="BD77" s="33">
        <f t="shared" ref="BD77:BD108" si="21">SUM(C77:BC77)-T77-U77-V77-W77-X77-Y77-Z77-AO77-K77-L77-M77-AE77-AF77-AG77-AB77-AC77</f>
        <v>4812977</v>
      </c>
      <c r="BE77" s="33"/>
      <c r="BF77" s="33"/>
      <c r="BG77" s="29"/>
      <c r="BH77" s="29"/>
      <c r="BI77" s="29"/>
      <c r="BJ77" s="29"/>
      <c r="BK77" s="29">
        <v>15100</v>
      </c>
      <c r="BL77" s="29"/>
      <c r="BM77" s="29"/>
      <c r="BN77" s="29"/>
      <c r="BO77" s="29"/>
      <c r="BP77" s="29"/>
      <c r="BQ77" s="33"/>
      <c r="BR77" s="33"/>
      <c r="BS77" s="33">
        <f t="shared" ref="BS77:BS108" si="22">SUM(BE77:BR77)</f>
        <v>15100</v>
      </c>
      <c r="BT77" s="29"/>
    </row>
    <row r="78" spans="1:72" ht="66.75" customHeight="1" x14ac:dyDescent="0.8">
      <c r="A78" s="12" t="s">
        <v>200</v>
      </c>
      <c r="B78" s="13" t="s">
        <v>201</v>
      </c>
      <c r="C78" s="29"/>
      <c r="D78" s="29">
        <v>414000</v>
      </c>
      <c r="E78" s="29"/>
      <c r="F78" s="29"/>
      <c r="G78" s="29"/>
      <c r="H78" s="29"/>
      <c r="I78" s="29"/>
      <c r="J78" s="33"/>
      <c r="K78" s="29"/>
      <c r="L78" s="29"/>
      <c r="M78" s="29"/>
      <c r="N78" s="29"/>
      <c r="O78" s="29"/>
      <c r="P78" s="29"/>
      <c r="Q78" s="29"/>
      <c r="R78" s="33"/>
      <c r="S78" s="33">
        <f t="shared" si="19"/>
        <v>30231</v>
      </c>
      <c r="T78" s="29"/>
      <c r="U78" s="29"/>
      <c r="V78" s="29">
        <f>30933-702</f>
        <v>30231</v>
      </c>
      <c r="W78" s="29"/>
      <c r="X78" s="29"/>
      <c r="Y78" s="29"/>
      <c r="Z78" s="29"/>
      <c r="AA78" s="33">
        <f t="shared" ref="AA78:AA111" si="23">AB78+AC78</f>
        <v>0</v>
      </c>
      <c r="AB78" s="33"/>
      <c r="AC78" s="33"/>
      <c r="AD78" s="33">
        <f t="shared" ref="AD78:AD111" si="24">AE78+AF78+AG78</f>
        <v>107921</v>
      </c>
      <c r="AE78" s="29">
        <v>44964</v>
      </c>
      <c r="AF78" s="29">
        <v>26973</v>
      </c>
      <c r="AG78" s="29">
        <v>35984</v>
      </c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33"/>
      <c r="BC78" s="33"/>
      <c r="BD78" s="33">
        <f t="shared" si="21"/>
        <v>552152</v>
      </c>
      <c r="BE78" s="33"/>
      <c r="BF78" s="33"/>
      <c r="BG78" s="29"/>
      <c r="BH78" s="29"/>
      <c r="BI78" s="29"/>
      <c r="BJ78" s="29"/>
      <c r="BK78" s="29">
        <v>2500</v>
      </c>
      <c r="BL78" s="29"/>
      <c r="BM78" s="29"/>
      <c r="BN78" s="29"/>
      <c r="BO78" s="29"/>
      <c r="BP78" s="29"/>
      <c r="BQ78" s="33"/>
      <c r="BR78" s="33"/>
      <c r="BS78" s="33">
        <f t="shared" si="22"/>
        <v>2500</v>
      </c>
      <c r="BT78" s="29"/>
    </row>
    <row r="79" spans="1:72" ht="66.75" customHeight="1" x14ac:dyDescent="0.8">
      <c r="A79" s="12" t="s">
        <v>139</v>
      </c>
      <c r="B79" s="13" t="s">
        <v>140</v>
      </c>
      <c r="C79" s="29"/>
      <c r="D79" s="29">
        <v>625000</v>
      </c>
      <c r="E79" s="29"/>
      <c r="F79" s="29"/>
      <c r="G79" s="29"/>
      <c r="H79" s="29"/>
      <c r="I79" s="29"/>
      <c r="J79" s="33">
        <f t="shared" ref="J79:J100" si="25">K79</f>
        <v>0</v>
      </c>
      <c r="K79" s="29"/>
      <c r="L79" s="29"/>
      <c r="M79" s="29"/>
      <c r="N79" s="29"/>
      <c r="O79" s="29"/>
      <c r="P79" s="29"/>
      <c r="Q79" s="29"/>
      <c r="R79" s="33"/>
      <c r="S79" s="33">
        <f t="shared" si="19"/>
        <v>45347</v>
      </c>
      <c r="T79" s="29"/>
      <c r="U79" s="29"/>
      <c r="V79" s="29">
        <f>46400-1053</f>
        <v>45347</v>
      </c>
      <c r="W79" s="29"/>
      <c r="X79" s="29"/>
      <c r="Y79" s="29"/>
      <c r="Z79" s="29"/>
      <c r="AA79" s="33">
        <f t="shared" si="23"/>
        <v>0</v>
      </c>
      <c r="AB79" s="33"/>
      <c r="AC79" s="33"/>
      <c r="AD79" s="33">
        <f t="shared" si="24"/>
        <v>158385</v>
      </c>
      <c r="AE79" s="29">
        <v>67446</v>
      </c>
      <c r="AF79" s="29">
        <v>36963</v>
      </c>
      <c r="AG79" s="29">
        <v>53976</v>
      </c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>
        <v>100000</v>
      </c>
      <c r="AS79" s="29"/>
      <c r="AT79" s="29"/>
      <c r="AU79" s="29"/>
      <c r="AV79" s="29"/>
      <c r="AW79" s="29"/>
      <c r="AX79" s="29"/>
      <c r="AY79" s="29"/>
      <c r="AZ79" s="29"/>
      <c r="BA79" s="29"/>
      <c r="BB79" s="33"/>
      <c r="BC79" s="33"/>
      <c r="BD79" s="33">
        <f t="shared" si="21"/>
        <v>928732</v>
      </c>
      <c r="BE79" s="33"/>
      <c r="BF79" s="33"/>
      <c r="BG79" s="29"/>
      <c r="BH79" s="29"/>
      <c r="BI79" s="29"/>
      <c r="BJ79" s="29"/>
      <c r="BK79" s="29">
        <v>4000</v>
      </c>
      <c r="BL79" s="29"/>
      <c r="BM79" s="29"/>
      <c r="BN79" s="29"/>
      <c r="BO79" s="29"/>
      <c r="BP79" s="29"/>
      <c r="BQ79" s="33"/>
      <c r="BR79" s="33"/>
      <c r="BS79" s="33">
        <f t="shared" si="22"/>
        <v>4000</v>
      </c>
      <c r="BT79" s="29"/>
    </row>
    <row r="80" spans="1:72" ht="55.5" customHeight="1" x14ac:dyDescent="0.8">
      <c r="A80" s="12" t="s">
        <v>141</v>
      </c>
      <c r="B80" s="13" t="s">
        <v>142</v>
      </c>
      <c r="C80" s="29"/>
      <c r="D80" s="29">
        <v>568500</v>
      </c>
      <c r="E80" s="29"/>
      <c r="F80" s="29"/>
      <c r="G80" s="29"/>
      <c r="H80" s="29"/>
      <c r="I80" s="29"/>
      <c r="J80" s="33">
        <f t="shared" si="25"/>
        <v>0</v>
      </c>
      <c r="K80" s="29"/>
      <c r="L80" s="29"/>
      <c r="M80" s="29"/>
      <c r="N80" s="29"/>
      <c r="O80" s="29"/>
      <c r="P80" s="29"/>
      <c r="Q80" s="29"/>
      <c r="R80" s="33"/>
      <c r="S80" s="33">
        <f t="shared" si="19"/>
        <v>60462</v>
      </c>
      <c r="T80" s="29"/>
      <c r="U80" s="29"/>
      <c r="V80" s="29">
        <f>61866-1404</f>
        <v>60462</v>
      </c>
      <c r="W80" s="29"/>
      <c r="X80" s="29"/>
      <c r="Y80" s="29"/>
      <c r="Z80" s="29"/>
      <c r="AA80" s="33">
        <f t="shared" si="23"/>
        <v>206100</v>
      </c>
      <c r="AB80" s="33"/>
      <c r="AC80" s="33">
        <v>206100</v>
      </c>
      <c r="AD80" s="33">
        <f t="shared" si="24"/>
        <v>197860</v>
      </c>
      <c r="AE80" s="29">
        <v>89928</v>
      </c>
      <c r="AF80" s="29">
        <v>35964</v>
      </c>
      <c r="AG80" s="29">
        <v>71968</v>
      </c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>
        <v>170000</v>
      </c>
      <c r="AS80" s="29"/>
      <c r="AT80" s="29"/>
      <c r="AU80" s="29"/>
      <c r="AV80" s="29"/>
      <c r="AW80" s="29"/>
      <c r="AX80" s="29"/>
      <c r="AY80" s="29"/>
      <c r="AZ80" s="29"/>
      <c r="BA80" s="29"/>
      <c r="BB80" s="33"/>
      <c r="BC80" s="33"/>
      <c r="BD80" s="33">
        <f t="shared" si="21"/>
        <v>1202922</v>
      </c>
      <c r="BE80" s="33"/>
      <c r="BF80" s="33"/>
      <c r="BG80" s="29"/>
      <c r="BH80" s="71">
        <v>1300000</v>
      </c>
      <c r="BI80" s="29"/>
      <c r="BJ80" s="29"/>
      <c r="BK80" s="29">
        <f>3600</f>
        <v>3600</v>
      </c>
      <c r="BL80" s="29"/>
      <c r="BM80" s="29"/>
      <c r="BN80" s="29"/>
      <c r="BO80" s="29"/>
      <c r="BP80" s="29"/>
      <c r="BQ80" s="33"/>
      <c r="BR80" s="33"/>
      <c r="BS80" s="33">
        <f t="shared" si="22"/>
        <v>1303600</v>
      </c>
      <c r="BT80" s="29"/>
    </row>
    <row r="81" spans="1:72" ht="59.25" customHeight="1" x14ac:dyDescent="0.8">
      <c r="A81" s="12" t="s">
        <v>143</v>
      </c>
      <c r="B81" s="13" t="s">
        <v>144</v>
      </c>
      <c r="C81" s="29"/>
      <c r="D81" s="29">
        <v>835400</v>
      </c>
      <c r="E81" s="29"/>
      <c r="F81" s="29"/>
      <c r="G81" s="29"/>
      <c r="H81" s="29"/>
      <c r="I81" s="29"/>
      <c r="J81" s="33">
        <f t="shared" si="25"/>
        <v>0</v>
      </c>
      <c r="K81" s="29"/>
      <c r="L81" s="29"/>
      <c r="M81" s="29"/>
      <c r="N81" s="29"/>
      <c r="O81" s="29"/>
      <c r="P81" s="29"/>
      <c r="Q81" s="29"/>
      <c r="R81" s="33"/>
      <c r="S81" s="33">
        <f t="shared" si="19"/>
        <v>30231</v>
      </c>
      <c r="T81" s="29"/>
      <c r="U81" s="29"/>
      <c r="V81" s="29">
        <f>30933-702</f>
        <v>30231</v>
      </c>
      <c r="W81" s="29"/>
      <c r="X81" s="29"/>
      <c r="Y81" s="29"/>
      <c r="Z81" s="29"/>
      <c r="AA81" s="33">
        <f t="shared" si="23"/>
        <v>0</v>
      </c>
      <c r="AB81" s="33"/>
      <c r="AC81" s="33"/>
      <c r="AD81" s="33">
        <f t="shared" si="24"/>
        <v>121907</v>
      </c>
      <c r="AE81" s="29">
        <v>44964</v>
      </c>
      <c r="AF81" s="29">
        <v>40959</v>
      </c>
      <c r="AG81" s="29">
        <v>35984</v>
      </c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>
        <v>200000</v>
      </c>
      <c r="AS81" s="29"/>
      <c r="AT81" s="29"/>
      <c r="AU81" s="29"/>
      <c r="AV81" s="29"/>
      <c r="AW81" s="29"/>
      <c r="AX81" s="29"/>
      <c r="AY81" s="29"/>
      <c r="AZ81" s="29"/>
      <c r="BA81" s="29"/>
      <c r="BB81" s="33"/>
      <c r="BC81" s="33"/>
      <c r="BD81" s="33">
        <f t="shared" si="21"/>
        <v>1187538</v>
      </c>
      <c r="BE81" s="33"/>
      <c r="BF81" s="33"/>
      <c r="BG81" s="29"/>
      <c r="BH81" s="29"/>
      <c r="BI81" s="29"/>
      <c r="BJ81" s="29"/>
      <c r="BK81" s="29">
        <v>4400</v>
      </c>
      <c r="BL81" s="29"/>
      <c r="BM81" s="29"/>
      <c r="BN81" s="29"/>
      <c r="BO81" s="29"/>
      <c r="BP81" s="29"/>
      <c r="BQ81" s="33"/>
      <c r="BR81" s="33"/>
      <c r="BS81" s="33">
        <f t="shared" si="22"/>
        <v>4400</v>
      </c>
      <c r="BT81" s="29"/>
    </row>
    <row r="82" spans="1:72" ht="59.25" customHeight="1" x14ac:dyDescent="0.8">
      <c r="A82" s="12" t="s">
        <v>145</v>
      </c>
      <c r="B82" s="13" t="s">
        <v>146</v>
      </c>
      <c r="C82" s="29"/>
      <c r="D82" s="29">
        <v>275800</v>
      </c>
      <c r="E82" s="29"/>
      <c r="F82" s="29"/>
      <c r="G82" s="29"/>
      <c r="H82" s="29"/>
      <c r="I82" s="29"/>
      <c r="J82" s="33">
        <f t="shared" si="25"/>
        <v>0</v>
      </c>
      <c r="K82" s="29"/>
      <c r="L82" s="29"/>
      <c r="M82" s="29"/>
      <c r="N82" s="29"/>
      <c r="O82" s="29"/>
      <c r="P82" s="29"/>
      <c r="Q82" s="29"/>
      <c r="R82" s="33"/>
      <c r="S82" s="33">
        <f t="shared" si="19"/>
        <v>45347</v>
      </c>
      <c r="T82" s="29"/>
      <c r="U82" s="29"/>
      <c r="V82" s="29">
        <f>46400-1053</f>
        <v>45347</v>
      </c>
      <c r="W82" s="29"/>
      <c r="X82" s="29"/>
      <c r="Y82" s="29"/>
      <c r="Z82" s="29"/>
      <c r="AA82" s="33">
        <f t="shared" si="23"/>
        <v>0</v>
      </c>
      <c r="AB82" s="33"/>
      <c r="AC82" s="33"/>
      <c r="AD82" s="33">
        <f t="shared" si="24"/>
        <v>140393</v>
      </c>
      <c r="AE82" s="29">
        <v>67446</v>
      </c>
      <c r="AF82" s="29">
        <v>36963</v>
      </c>
      <c r="AG82" s="29">
        <v>35984</v>
      </c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>
        <v>50000</v>
      </c>
      <c r="AS82" s="29"/>
      <c r="AT82" s="29"/>
      <c r="AU82" s="29"/>
      <c r="AV82" s="29"/>
      <c r="AW82" s="29"/>
      <c r="AX82" s="29"/>
      <c r="AY82" s="29"/>
      <c r="AZ82" s="29"/>
      <c r="BA82" s="29"/>
      <c r="BB82" s="33"/>
      <c r="BC82" s="33"/>
      <c r="BD82" s="33">
        <f t="shared" si="21"/>
        <v>511540</v>
      </c>
      <c r="BE82" s="33"/>
      <c r="BF82" s="33"/>
      <c r="BG82" s="29"/>
      <c r="BH82" s="29"/>
      <c r="BI82" s="29"/>
      <c r="BJ82" s="29"/>
      <c r="BK82" s="29">
        <v>2700</v>
      </c>
      <c r="BL82" s="29"/>
      <c r="BM82" s="29"/>
      <c r="BN82" s="29"/>
      <c r="BO82" s="29"/>
      <c r="BP82" s="29"/>
      <c r="BQ82" s="33"/>
      <c r="BR82" s="33"/>
      <c r="BS82" s="33">
        <f t="shared" si="22"/>
        <v>2700</v>
      </c>
      <c r="BT82" s="29"/>
    </row>
    <row r="83" spans="1:72" ht="63" customHeight="1" x14ac:dyDescent="0.8">
      <c r="A83" s="12" t="s">
        <v>147</v>
      </c>
      <c r="B83" s="13" t="s">
        <v>148</v>
      </c>
      <c r="C83" s="29"/>
      <c r="D83" s="29">
        <v>711800</v>
      </c>
      <c r="E83" s="29"/>
      <c r="F83" s="29"/>
      <c r="G83" s="29"/>
      <c r="H83" s="29"/>
      <c r="I83" s="29"/>
      <c r="J83" s="33">
        <f t="shared" si="25"/>
        <v>0</v>
      </c>
      <c r="K83" s="29"/>
      <c r="L83" s="29"/>
      <c r="M83" s="29"/>
      <c r="N83" s="29"/>
      <c r="O83" s="29"/>
      <c r="P83" s="29"/>
      <c r="Q83" s="29"/>
      <c r="R83" s="33"/>
      <c r="S83" s="33">
        <f t="shared" si="19"/>
        <v>45347</v>
      </c>
      <c r="T83" s="29"/>
      <c r="U83" s="29"/>
      <c r="V83" s="29">
        <f>46400-1053</f>
        <v>45347</v>
      </c>
      <c r="W83" s="29"/>
      <c r="X83" s="29"/>
      <c r="Y83" s="29"/>
      <c r="Z83" s="29"/>
      <c r="AA83" s="33">
        <f t="shared" si="23"/>
        <v>0</v>
      </c>
      <c r="AB83" s="33"/>
      <c r="AC83" s="33"/>
      <c r="AD83" s="33">
        <f t="shared" si="24"/>
        <v>170383</v>
      </c>
      <c r="AE83" s="29">
        <v>67446</v>
      </c>
      <c r="AF83" s="29">
        <v>30969</v>
      </c>
      <c r="AG83" s="29">
        <v>71968</v>
      </c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>
        <v>30000</v>
      </c>
      <c r="AS83" s="29"/>
      <c r="AT83" s="29"/>
      <c r="AU83" s="29"/>
      <c r="AV83" s="29"/>
      <c r="AW83" s="29"/>
      <c r="AX83" s="29"/>
      <c r="AY83" s="29"/>
      <c r="AZ83" s="29"/>
      <c r="BA83" s="29"/>
      <c r="BB83" s="33"/>
      <c r="BC83" s="33"/>
      <c r="BD83" s="33">
        <f t="shared" si="21"/>
        <v>957530</v>
      </c>
      <c r="BE83" s="33"/>
      <c r="BF83" s="33"/>
      <c r="BG83" s="29"/>
      <c r="BH83" s="29"/>
      <c r="BI83" s="29"/>
      <c r="BJ83" s="29"/>
      <c r="BK83" s="29">
        <f>4200</f>
        <v>4200</v>
      </c>
      <c r="BL83" s="29"/>
      <c r="BM83" s="29"/>
      <c r="BN83" s="29"/>
      <c r="BO83" s="29"/>
      <c r="BP83" s="29"/>
      <c r="BQ83" s="33"/>
      <c r="BR83" s="33"/>
      <c r="BS83" s="33">
        <f t="shared" si="22"/>
        <v>4200</v>
      </c>
      <c r="BT83" s="29"/>
    </row>
    <row r="84" spans="1:72" ht="63" customHeight="1" x14ac:dyDescent="0.8">
      <c r="A84" s="12" t="s">
        <v>149</v>
      </c>
      <c r="B84" s="13" t="s">
        <v>150</v>
      </c>
      <c r="C84" s="29"/>
      <c r="D84" s="29">
        <v>377100</v>
      </c>
      <c r="E84" s="29"/>
      <c r="F84" s="29"/>
      <c r="G84" s="29"/>
      <c r="H84" s="29"/>
      <c r="I84" s="29"/>
      <c r="J84" s="33">
        <f t="shared" si="25"/>
        <v>0</v>
      </c>
      <c r="K84" s="29"/>
      <c r="L84" s="29"/>
      <c r="M84" s="29"/>
      <c r="N84" s="29"/>
      <c r="O84" s="29"/>
      <c r="P84" s="29"/>
      <c r="Q84" s="29"/>
      <c r="R84" s="33"/>
      <c r="S84" s="33">
        <f t="shared" si="19"/>
        <v>1369731</v>
      </c>
      <c r="T84" s="29"/>
      <c r="U84" s="29">
        <f>1339500</f>
        <v>1339500</v>
      </c>
      <c r="V84" s="29">
        <f>30933-702</f>
        <v>30231</v>
      </c>
      <c r="W84" s="29"/>
      <c r="X84" s="29"/>
      <c r="Y84" s="29"/>
      <c r="Z84" s="29"/>
      <c r="AA84" s="33">
        <f t="shared" si="23"/>
        <v>30611</v>
      </c>
      <c r="AB84" s="33">
        <v>30611</v>
      </c>
      <c r="AC84" s="33"/>
      <c r="AD84" s="33">
        <f t="shared" si="24"/>
        <v>111917</v>
      </c>
      <c r="AE84" s="29">
        <v>44964</v>
      </c>
      <c r="AF84" s="29">
        <v>30969</v>
      </c>
      <c r="AG84" s="29">
        <v>35984</v>
      </c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>
        <v>50000</v>
      </c>
      <c r="AS84" s="29"/>
      <c r="AT84" s="29"/>
      <c r="AU84" s="29"/>
      <c r="AV84" s="29"/>
      <c r="AW84" s="29"/>
      <c r="AX84" s="29"/>
      <c r="AY84" s="29"/>
      <c r="AZ84" s="29"/>
      <c r="BA84" s="29"/>
      <c r="BB84" s="33"/>
      <c r="BC84" s="33"/>
      <c r="BD84" s="33">
        <f t="shared" si="21"/>
        <v>1939359</v>
      </c>
      <c r="BE84" s="33"/>
      <c r="BF84" s="33"/>
      <c r="BG84" s="29"/>
      <c r="BH84" s="29"/>
      <c r="BI84" s="29"/>
      <c r="BJ84" s="29"/>
      <c r="BK84" s="29">
        <v>3000</v>
      </c>
      <c r="BL84" s="29"/>
      <c r="BM84" s="29"/>
      <c r="BN84" s="29"/>
      <c r="BO84" s="29"/>
      <c r="BP84" s="29"/>
      <c r="BQ84" s="33"/>
      <c r="BR84" s="33"/>
      <c r="BS84" s="33">
        <f t="shared" si="22"/>
        <v>3000</v>
      </c>
      <c r="BT84" s="29"/>
    </row>
    <row r="85" spans="1:72" ht="119.25" customHeight="1" x14ac:dyDescent="0.8">
      <c r="A85" s="12" t="s">
        <v>175</v>
      </c>
      <c r="B85" s="13" t="s">
        <v>221</v>
      </c>
      <c r="C85" s="29"/>
      <c r="D85" s="29"/>
      <c r="E85" s="29"/>
      <c r="F85" s="29"/>
      <c r="G85" s="29"/>
      <c r="H85" s="29"/>
      <c r="I85" s="29"/>
      <c r="J85" s="33">
        <f t="shared" si="25"/>
        <v>0</v>
      </c>
      <c r="K85" s="29"/>
      <c r="L85" s="29"/>
      <c r="M85" s="29"/>
      <c r="N85" s="29"/>
      <c r="O85" s="29"/>
      <c r="P85" s="29"/>
      <c r="Q85" s="29"/>
      <c r="R85" s="33"/>
      <c r="S85" s="33">
        <f t="shared" si="19"/>
        <v>60462</v>
      </c>
      <c r="T85" s="29"/>
      <c r="U85" s="29">
        <f>1339500-1339500</f>
        <v>0</v>
      </c>
      <c r="V85" s="29">
        <v>60462</v>
      </c>
      <c r="W85" s="29"/>
      <c r="X85" s="29"/>
      <c r="Y85" s="29"/>
      <c r="Z85" s="29"/>
      <c r="AA85" s="33">
        <f t="shared" si="23"/>
        <v>61222</v>
      </c>
      <c r="AB85" s="33">
        <v>61222</v>
      </c>
      <c r="AC85" s="33"/>
      <c r="AD85" s="33">
        <f t="shared" si="24"/>
        <v>191866</v>
      </c>
      <c r="AE85" s="29">
        <v>89928</v>
      </c>
      <c r="AF85" s="29">
        <v>29970</v>
      </c>
      <c r="AG85" s="29">
        <v>71968</v>
      </c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>
        <v>150000</v>
      </c>
      <c r="AS85" s="29"/>
      <c r="AT85" s="29"/>
      <c r="AU85" s="29"/>
      <c r="AV85" s="29"/>
      <c r="AW85" s="29"/>
      <c r="AX85" s="29"/>
      <c r="AY85" s="29"/>
      <c r="AZ85" s="29"/>
      <c r="BA85" s="29"/>
      <c r="BB85" s="33"/>
      <c r="BC85" s="33"/>
      <c r="BD85" s="33">
        <f t="shared" si="21"/>
        <v>463550</v>
      </c>
      <c r="BE85" s="33"/>
      <c r="BF85" s="33"/>
      <c r="BG85" s="29"/>
      <c r="BH85" s="29"/>
      <c r="BI85" s="29"/>
      <c r="BJ85" s="29"/>
      <c r="BK85" s="29">
        <f>3700</f>
        <v>3700</v>
      </c>
      <c r="BL85" s="29"/>
      <c r="BM85" s="29"/>
      <c r="BN85" s="29"/>
      <c r="BO85" s="29"/>
      <c r="BP85" s="29"/>
      <c r="BQ85" s="33"/>
      <c r="BR85" s="33"/>
      <c r="BS85" s="33">
        <f t="shared" si="22"/>
        <v>3700</v>
      </c>
      <c r="BT85" s="29"/>
    </row>
    <row r="86" spans="1:72" ht="66.75" customHeight="1" x14ac:dyDescent="0.8">
      <c r="A86" s="12" t="s">
        <v>288</v>
      </c>
      <c r="B86" s="13" t="s">
        <v>289</v>
      </c>
      <c r="C86" s="29"/>
      <c r="D86" s="29"/>
      <c r="E86" s="29"/>
      <c r="F86" s="29"/>
      <c r="G86" s="29"/>
      <c r="H86" s="29"/>
      <c r="I86" s="29"/>
      <c r="J86" s="33"/>
      <c r="K86" s="29"/>
      <c r="L86" s="29"/>
      <c r="M86" s="29"/>
      <c r="N86" s="29"/>
      <c r="O86" s="29"/>
      <c r="P86" s="29"/>
      <c r="Q86" s="29"/>
      <c r="R86" s="33"/>
      <c r="S86" s="33">
        <f t="shared" si="19"/>
        <v>75578</v>
      </c>
      <c r="T86" s="29"/>
      <c r="U86" s="29"/>
      <c r="V86" s="29">
        <v>75578</v>
      </c>
      <c r="W86" s="29"/>
      <c r="X86" s="29"/>
      <c r="Y86" s="29"/>
      <c r="Z86" s="29"/>
      <c r="AA86" s="33">
        <f t="shared" si="23"/>
        <v>0</v>
      </c>
      <c r="AB86" s="33"/>
      <c r="AC86" s="33"/>
      <c r="AD86" s="33">
        <f t="shared" si="24"/>
        <v>387185</v>
      </c>
      <c r="AE86" s="29">
        <v>112410</v>
      </c>
      <c r="AF86" s="29">
        <v>184815</v>
      </c>
      <c r="AG86" s="29">
        <v>89960</v>
      </c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33"/>
      <c r="BC86" s="33"/>
      <c r="BD86" s="33">
        <f t="shared" si="21"/>
        <v>462763</v>
      </c>
      <c r="BE86" s="33"/>
      <c r="BF86" s="33"/>
      <c r="BG86" s="29"/>
      <c r="BH86" s="29"/>
      <c r="BI86" s="29"/>
      <c r="BJ86" s="29"/>
      <c r="BK86" s="29">
        <v>18000</v>
      </c>
      <c r="BL86" s="29"/>
      <c r="BM86" s="29"/>
      <c r="BN86" s="29"/>
      <c r="BO86" s="29"/>
      <c r="BP86" s="29"/>
      <c r="BQ86" s="33"/>
      <c r="BR86" s="33"/>
      <c r="BS86" s="33">
        <f t="shared" si="22"/>
        <v>18000</v>
      </c>
      <c r="BT86" s="29"/>
    </row>
    <row r="87" spans="1:72" ht="63" customHeight="1" x14ac:dyDescent="0.8">
      <c r="A87" s="12" t="s">
        <v>173</v>
      </c>
      <c r="B87" s="13" t="s">
        <v>155</v>
      </c>
      <c r="C87" s="29"/>
      <c r="D87" s="29"/>
      <c r="E87" s="29"/>
      <c r="F87" s="29"/>
      <c r="G87" s="29"/>
      <c r="H87" s="29"/>
      <c r="I87" s="29"/>
      <c r="J87" s="33">
        <f t="shared" si="25"/>
        <v>0</v>
      </c>
      <c r="K87" s="29"/>
      <c r="L87" s="29"/>
      <c r="M87" s="29"/>
      <c r="N87" s="29">
        <v>399818</v>
      </c>
      <c r="O87" s="29">
        <f>60290</f>
        <v>60290</v>
      </c>
      <c r="P87" s="29">
        <f>378061</f>
        <v>378061</v>
      </c>
      <c r="Q87" s="29"/>
      <c r="R87" s="33"/>
      <c r="S87" s="33">
        <f t="shared" si="19"/>
        <v>581304.38</v>
      </c>
      <c r="T87" s="29">
        <f>415033.38</f>
        <v>415033.38</v>
      </c>
      <c r="U87" s="29"/>
      <c r="V87" s="29">
        <v>166271</v>
      </c>
      <c r="W87" s="29"/>
      <c r="X87" s="29"/>
      <c r="Y87" s="29"/>
      <c r="Z87" s="29"/>
      <c r="AA87" s="33">
        <f t="shared" si="23"/>
        <v>328544</v>
      </c>
      <c r="AB87" s="33">
        <v>122444</v>
      </c>
      <c r="AC87" s="33">
        <v>206100</v>
      </c>
      <c r="AD87" s="33">
        <f t="shared" si="24"/>
        <v>526113</v>
      </c>
      <c r="AE87" s="29">
        <v>247302</v>
      </c>
      <c r="AF87" s="29">
        <v>116883</v>
      </c>
      <c r="AG87" s="29">
        <v>161928</v>
      </c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>
        <v>170000</v>
      </c>
      <c r="AS87" s="29"/>
      <c r="AT87" s="29"/>
      <c r="AU87" s="29"/>
      <c r="AV87" s="29"/>
      <c r="AW87" s="29"/>
      <c r="AX87" s="29"/>
      <c r="AY87" s="29"/>
      <c r="AZ87" s="29"/>
      <c r="BA87" s="29"/>
      <c r="BB87" s="33"/>
      <c r="BC87" s="33"/>
      <c r="BD87" s="33">
        <f t="shared" si="21"/>
        <v>2444130.38</v>
      </c>
      <c r="BE87" s="33"/>
      <c r="BF87" s="33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33"/>
      <c r="BR87" s="33"/>
      <c r="BS87" s="33">
        <f t="shared" si="22"/>
        <v>0</v>
      </c>
      <c r="BT87" s="29"/>
    </row>
    <row r="88" spans="1:72" ht="59.25" customHeight="1" x14ac:dyDescent="0.8">
      <c r="A88" s="12" t="s">
        <v>172</v>
      </c>
      <c r="B88" s="13" t="s">
        <v>154</v>
      </c>
      <c r="C88" s="29"/>
      <c r="D88" s="29"/>
      <c r="E88" s="29"/>
      <c r="F88" s="29"/>
      <c r="G88" s="29"/>
      <c r="H88" s="29"/>
      <c r="I88" s="29"/>
      <c r="J88" s="33">
        <f t="shared" si="25"/>
        <v>0</v>
      </c>
      <c r="K88" s="29"/>
      <c r="L88" s="29"/>
      <c r="M88" s="29"/>
      <c r="N88" s="29"/>
      <c r="O88" s="29"/>
      <c r="P88" s="29"/>
      <c r="Q88" s="29"/>
      <c r="R88" s="33"/>
      <c r="S88" s="33">
        <f t="shared" si="19"/>
        <v>45347</v>
      </c>
      <c r="T88" s="29"/>
      <c r="U88" s="29"/>
      <c r="V88" s="29">
        <v>45347</v>
      </c>
      <c r="W88" s="29"/>
      <c r="X88" s="29"/>
      <c r="Y88" s="29"/>
      <c r="Z88" s="29"/>
      <c r="AA88" s="33">
        <f t="shared" si="23"/>
        <v>122444</v>
      </c>
      <c r="AB88" s="33">
        <v>122444</v>
      </c>
      <c r="AC88" s="33"/>
      <c r="AD88" s="33">
        <f t="shared" si="24"/>
        <v>147386</v>
      </c>
      <c r="AE88" s="29">
        <v>67446</v>
      </c>
      <c r="AF88" s="29">
        <v>43956</v>
      </c>
      <c r="AG88" s="29">
        <v>35984</v>
      </c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>
        <f>40000+60000</f>
        <v>100000</v>
      </c>
      <c r="AS88" s="29"/>
      <c r="AT88" s="29"/>
      <c r="AU88" s="29"/>
      <c r="AV88" s="29"/>
      <c r="AW88" s="29"/>
      <c r="AX88" s="29"/>
      <c r="AY88" s="29"/>
      <c r="AZ88" s="29"/>
      <c r="BA88" s="29"/>
      <c r="BB88" s="33"/>
      <c r="BC88" s="33"/>
      <c r="BD88" s="33">
        <f t="shared" si="21"/>
        <v>415177</v>
      </c>
      <c r="BE88" s="33"/>
      <c r="BF88" s="33"/>
      <c r="BG88" s="29"/>
      <c r="BH88" s="29">
        <f>250000</f>
        <v>250000</v>
      </c>
      <c r="BI88" s="29"/>
      <c r="BJ88" s="29"/>
      <c r="BK88" s="29">
        <v>3300</v>
      </c>
      <c r="BL88" s="29"/>
      <c r="BM88" s="29"/>
      <c r="BN88" s="29"/>
      <c r="BO88" s="29"/>
      <c r="BP88" s="29"/>
      <c r="BQ88" s="33"/>
      <c r="BR88" s="33"/>
      <c r="BS88" s="33">
        <f t="shared" si="22"/>
        <v>253300</v>
      </c>
      <c r="BT88" s="29"/>
    </row>
    <row r="89" spans="1:72" ht="63" customHeight="1" x14ac:dyDescent="0.8">
      <c r="A89" s="12" t="s">
        <v>177</v>
      </c>
      <c r="B89" s="13" t="s">
        <v>229</v>
      </c>
      <c r="C89" s="29"/>
      <c r="D89" s="29"/>
      <c r="E89" s="29"/>
      <c r="F89" s="29"/>
      <c r="G89" s="29"/>
      <c r="H89" s="29"/>
      <c r="I89" s="29"/>
      <c r="J89" s="33">
        <f t="shared" si="25"/>
        <v>0</v>
      </c>
      <c r="K89" s="29"/>
      <c r="L89" s="29"/>
      <c r="M89" s="29"/>
      <c r="N89" s="29"/>
      <c r="O89" s="29"/>
      <c r="P89" s="29"/>
      <c r="Q89" s="29"/>
      <c r="R89" s="33"/>
      <c r="S89" s="33">
        <f t="shared" si="19"/>
        <v>45347</v>
      </c>
      <c r="T89" s="29"/>
      <c r="U89" s="29"/>
      <c r="V89" s="29">
        <v>45347</v>
      </c>
      <c r="W89" s="29"/>
      <c r="X89" s="29"/>
      <c r="Y89" s="29"/>
      <c r="Z89" s="29"/>
      <c r="AA89" s="33">
        <f t="shared" si="23"/>
        <v>0</v>
      </c>
      <c r="AB89" s="33"/>
      <c r="AC89" s="33"/>
      <c r="AD89" s="33">
        <f t="shared" si="24"/>
        <v>163380</v>
      </c>
      <c r="AE89" s="29">
        <v>67446</v>
      </c>
      <c r="AF89" s="29">
        <v>41958</v>
      </c>
      <c r="AG89" s="29">
        <v>53976</v>
      </c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>
        <v>145000</v>
      </c>
      <c r="AS89" s="29"/>
      <c r="AT89" s="29"/>
      <c r="AU89" s="29"/>
      <c r="AV89" s="29"/>
      <c r="AW89" s="29"/>
      <c r="AX89" s="29"/>
      <c r="AY89" s="29"/>
      <c r="AZ89" s="29"/>
      <c r="BA89" s="29">
        <v>500000</v>
      </c>
      <c r="BB89" s="33"/>
      <c r="BC89" s="33"/>
      <c r="BD89" s="33">
        <f t="shared" si="21"/>
        <v>853727</v>
      </c>
      <c r="BE89" s="33"/>
      <c r="BF89" s="33"/>
      <c r="BG89" s="29"/>
      <c r="BH89" s="29"/>
      <c r="BI89" s="29"/>
      <c r="BJ89" s="29"/>
      <c r="BK89" s="29">
        <f>3900</f>
        <v>3900</v>
      </c>
      <c r="BL89" s="29"/>
      <c r="BM89" s="29"/>
      <c r="BN89" s="29"/>
      <c r="BO89" s="29"/>
      <c r="BP89" s="29"/>
      <c r="BQ89" s="33"/>
      <c r="BR89" s="33"/>
      <c r="BS89" s="33">
        <f t="shared" si="22"/>
        <v>3900</v>
      </c>
      <c r="BT89" s="29"/>
    </row>
    <row r="90" spans="1:72" ht="63" customHeight="1" x14ac:dyDescent="0.8">
      <c r="A90" s="12" t="s">
        <v>182</v>
      </c>
      <c r="B90" s="13" t="s">
        <v>160</v>
      </c>
      <c r="C90" s="29"/>
      <c r="D90" s="29"/>
      <c r="E90" s="29"/>
      <c r="F90" s="29"/>
      <c r="G90" s="29"/>
      <c r="H90" s="29"/>
      <c r="I90" s="29"/>
      <c r="J90" s="33">
        <f t="shared" si="25"/>
        <v>0</v>
      </c>
      <c r="K90" s="29"/>
      <c r="L90" s="29"/>
      <c r="M90" s="29"/>
      <c r="N90" s="29"/>
      <c r="O90" s="29"/>
      <c r="P90" s="29"/>
      <c r="Q90" s="29"/>
      <c r="R90" s="33"/>
      <c r="S90" s="33">
        <f t="shared" si="19"/>
        <v>90693</v>
      </c>
      <c r="T90" s="29"/>
      <c r="U90" s="29"/>
      <c r="V90" s="29">
        <v>90693</v>
      </c>
      <c r="W90" s="29"/>
      <c r="X90" s="29"/>
      <c r="Y90" s="29"/>
      <c r="Z90" s="29"/>
      <c r="AA90" s="33">
        <f t="shared" si="23"/>
        <v>489776</v>
      </c>
      <c r="AB90" s="33">
        <v>489776</v>
      </c>
      <c r="AC90" s="33"/>
      <c r="AD90" s="33">
        <f t="shared" si="24"/>
        <v>332754</v>
      </c>
      <c r="AE90" s="29">
        <v>134892</v>
      </c>
      <c r="AF90" s="29">
        <v>89910</v>
      </c>
      <c r="AG90" s="29">
        <v>107952</v>
      </c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>
        <v>205000</v>
      </c>
      <c r="AS90" s="29"/>
      <c r="AT90" s="29"/>
      <c r="AU90" s="29"/>
      <c r="AV90" s="29"/>
      <c r="AW90" s="29">
        <v>1650000</v>
      </c>
      <c r="AX90" s="29"/>
      <c r="AY90" s="29"/>
      <c r="AZ90" s="29"/>
      <c r="BA90" s="29"/>
      <c r="BB90" s="33"/>
      <c r="BC90" s="33"/>
      <c r="BD90" s="33">
        <f t="shared" si="21"/>
        <v>2768223</v>
      </c>
      <c r="BE90" s="33"/>
      <c r="BF90" s="33"/>
      <c r="BG90" s="29"/>
      <c r="BH90" s="29"/>
      <c r="BI90" s="29"/>
      <c r="BJ90" s="29"/>
      <c r="BK90" s="29">
        <v>13800</v>
      </c>
      <c r="BL90" s="29"/>
      <c r="BM90" s="29"/>
      <c r="BN90" s="29"/>
      <c r="BO90" s="29"/>
      <c r="BP90" s="29"/>
      <c r="BQ90" s="33"/>
      <c r="BR90" s="33"/>
      <c r="BS90" s="33">
        <f t="shared" si="22"/>
        <v>13800</v>
      </c>
      <c r="BT90" s="29"/>
    </row>
    <row r="91" spans="1:72" ht="63" customHeight="1" x14ac:dyDescent="0.8">
      <c r="A91" s="12" t="s">
        <v>174</v>
      </c>
      <c r="B91" s="13" t="s">
        <v>156</v>
      </c>
      <c r="C91" s="29"/>
      <c r="D91" s="29"/>
      <c r="E91" s="29"/>
      <c r="F91" s="29"/>
      <c r="G91" s="29"/>
      <c r="H91" s="29"/>
      <c r="I91" s="29"/>
      <c r="J91" s="33">
        <f t="shared" si="25"/>
        <v>0</v>
      </c>
      <c r="K91" s="29"/>
      <c r="L91" s="29"/>
      <c r="M91" s="29"/>
      <c r="N91" s="29"/>
      <c r="O91" s="29"/>
      <c r="P91" s="29"/>
      <c r="Q91" s="29"/>
      <c r="R91" s="33"/>
      <c r="S91" s="33">
        <f t="shared" si="19"/>
        <v>60462</v>
      </c>
      <c r="T91" s="29"/>
      <c r="U91" s="29"/>
      <c r="V91" s="29">
        <v>60462</v>
      </c>
      <c r="W91" s="29"/>
      <c r="X91" s="29"/>
      <c r="Y91" s="29"/>
      <c r="Z91" s="29"/>
      <c r="AA91" s="33">
        <f t="shared" si="23"/>
        <v>61222</v>
      </c>
      <c r="AB91" s="33">
        <v>61222</v>
      </c>
      <c r="AC91" s="33"/>
      <c r="AD91" s="33">
        <f t="shared" si="24"/>
        <v>244813</v>
      </c>
      <c r="AE91" s="29">
        <v>89928</v>
      </c>
      <c r="AF91" s="29">
        <v>82917</v>
      </c>
      <c r="AG91" s="29">
        <v>71968</v>
      </c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>
        <f>65000+30000</f>
        <v>95000</v>
      </c>
      <c r="AS91" s="29"/>
      <c r="AT91" s="29"/>
      <c r="AU91" s="29"/>
      <c r="AV91" s="29"/>
      <c r="AW91" s="29"/>
      <c r="AX91" s="29"/>
      <c r="AY91" s="29"/>
      <c r="AZ91" s="29"/>
      <c r="BA91" s="29"/>
      <c r="BB91" s="33"/>
      <c r="BC91" s="33"/>
      <c r="BD91" s="33">
        <f t="shared" si="21"/>
        <v>461497</v>
      </c>
      <c r="BE91" s="33"/>
      <c r="BF91" s="33"/>
      <c r="BG91" s="29"/>
      <c r="BH91" s="29"/>
      <c r="BI91" s="29"/>
      <c r="BJ91" s="29"/>
      <c r="BK91" s="29">
        <v>7700</v>
      </c>
      <c r="BL91" s="29"/>
      <c r="BM91" s="29"/>
      <c r="BN91" s="29"/>
      <c r="BO91" s="29"/>
      <c r="BP91" s="29"/>
      <c r="BQ91" s="33"/>
      <c r="BR91" s="33"/>
      <c r="BS91" s="33">
        <f t="shared" si="22"/>
        <v>7700</v>
      </c>
      <c r="BT91" s="29"/>
    </row>
    <row r="92" spans="1:72" ht="59.25" customHeight="1" x14ac:dyDescent="0.8">
      <c r="A92" s="12" t="s">
        <v>181</v>
      </c>
      <c r="B92" s="13" t="s">
        <v>159</v>
      </c>
      <c r="C92" s="29"/>
      <c r="D92" s="29"/>
      <c r="E92" s="29"/>
      <c r="F92" s="29"/>
      <c r="G92" s="29"/>
      <c r="H92" s="29"/>
      <c r="I92" s="29"/>
      <c r="J92" s="33">
        <f t="shared" si="25"/>
        <v>0</v>
      </c>
      <c r="K92" s="29"/>
      <c r="L92" s="29"/>
      <c r="M92" s="29"/>
      <c r="N92" s="29"/>
      <c r="O92" s="29"/>
      <c r="P92" s="29"/>
      <c r="Q92" s="29"/>
      <c r="R92" s="33"/>
      <c r="S92" s="33">
        <f t="shared" si="19"/>
        <v>30231</v>
      </c>
      <c r="T92" s="29"/>
      <c r="U92" s="29"/>
      <c r="V92" s="29">
        <v>30231</v>
      </c>
      <c r="W92" s="29"/>
      <c r="X92" s="29"/>
      <c r="Y92" s="29"/>
      <c r="Z92" s="29"/>
      <c r="AA92" s="33">
        <f t="shared" si="23"/>
        <v>0</v>
      </c>
      <c r="AB92" s="33"/>
      <c r="AC92" s="33"/>
      <c r="AD92" s="33">
        <f t="shared" si="24"/>
        <v>110918</v>
      </c>
      <c r="AE92" s="29">
        <v>44964</v>
      </c>
      <c r="AF92" s="29">
        <v>29970</v>
      </c>
      <c r="AG92" s="29">
        <v>35984</v>
      </c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>
        <f>65000+20000</f>
        <v>85000</v>
      </c>
      <c r="AS92" s="29"/>
      <c r="AT92" s="29"/>
      <c r="AU92" s="29"/>
      <c r="AV92" s="29"/>
      <c r="AW92" s="29"/>
      <c r="AX92" s="29"/>
      <c r="AY92" s="29"/>
      <c r="AZ92" s="29"/>
      <c r="BA92" s="29">
        <v>500000</v>
      </c>
      <c r="BB92" s="33"/>
      <c r="BC92" s="33"/>
      <c r="BD92" s="33">
        <f t="shared" si="21"/>
        <v>726149</v>
      </c>
      <c r="BE92" s="33"/>
      <c r="BF92" s="33"/>
      <c r="BG92" s="29">
        <v>1000000</v>
      </c>
      <c r="BH92" s="29"/>
      <c r="BI92" s="29"/>
      <c r="BJ92" s="29"/>
      <c r="BK92" s="29">
        <v>2800</v>
      </c>
      <c r="BL92" s="29"/>
      <c r="BM92" s="29"/>
      <c r="BN92" s="29"/>
      <c r="BO92" s="29"/>
      <c r="BP92" s="29"/>
      <c r="BQ92" s="33"/>
      <c r="BR92" s="33"/>
      <c r="BS92" s="33">
        <f t="shared" si="22"/>
        <v>1002800</v>
      </c>
      <c r="BT92" s="29"/>
    </row>
    <row r="93" spans="1:72" ht="63" customHeight="1" x14ac:dyDescent="0.8">
      <c r="A93" s="12" t="s">
        <v>178</v>
      </c>
      <c r="B93" s="13" t="s">
        <v>266</v>
      </c>
      <c r="C93" s="29"/>
      <c r="D93" s="29"/>
      <c r="E93" s="29"/>
      <c r="F93" s="29"/>
      <c r="G93" s="29"/>
      <c r="H93" s="29"/>
      <c r="I93" s="29"/>
      <c r="J93" s="33">
        <f t="shared" si="25"/>
        <v>0</v>
      </c>
      <c r="K93" s="29"/>
      <c r="L93" s="29"/>
      <c r="M93" s="29"/>
      <c r="N93" s="29">
        <v>425822</v>
      </c>
      <c r="O93" s="29">
        <f>64212</f>
        <v>64212</v>
      </c>
      <c r="P93" s="29"/>
      <c r="Q93" s="29"/>
      <c r="R93" s="33"/>
      <c r="S93" s="33">
        <f t="shared" si="19"/>
        <v>3650850</v>
      </c>
      <c r="T93" s="29">
        <v>3545041</v>
      </c>
      <c r="U93" s="29"/>
      <c r="V93" s="29">
        <v>105809</v>
      </c>
      <c r="W93" s="29"/>
      <c r="X93" s="29"/>
      <c r="Y93" s="29"/>
      <c r="Z93" s="29"/>
      <c r="AA93" s="33">
        <f t="shared" si="23"/>
        <v>153055</v>
      </c>
      <c r="AB93" s="33">
        <v>153055</v>
      </c>
      <c r="AC93" s="33"/>
      <c r="AD93" s="33">
        <f t="shared" si="24"/>
        <v>310241</v>
      </c>
      <c r="AE93" s="29">
        <v>157374</v>
      </c>
      <c r="AF93" s="29">
        <v>116883</v>
      </c>
      <c r="AG93" s="29">
        <v>35984</v>
      </c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>
        <f>40000-20000</f>
        <v>20000</v>
      </c>
      <c r="AS93" s="29"/>
      <c r="AT93" s="29"/>
      <c r="AU93" s="29"/>
      <c r="AV93" s="29"/>
      <c r="AW93" s="29"/>
      <c r="AX93" s="29"/>
      <c r="AY93" s="29"/>
      <c r="AZ93" s="29"/>
      <c r="BA93" s="29">
        <v>250000</v>
      </c>
      <c r="BB93" s="33"/>
      <c r="BC93" s="33"/>
      <c r="BD93" s="33">
        <f t="shared" si="21"/>
        <v>4874180</v>
      </c>
      <c r="BE93" s="33"/>
      <c r="BF93" s="33"/>
      <c r="BG93" s="29"/>
      <c r="BH93" s="29"/>
      <c r="BI93" s="29"/>
      <c r="BJ93" s="29"/>
      <c r="BK93" s="29">
        <f>9400</f>
        <v>9400</v>
      </c>
      <c r="BL93" s="29"/>
      <c r="BM93" s="29"/>
      <c r="BN93" s="29"/>
      <c r="BO93" s="29"/>
      <c r="BP93" s="29"/>
      <c r="BQ93" s="33"/>
      <c r="BR93" s="33"/>
      <c r="BS93" s="33">
        <f t="shared" si="22"/>
        <v>9400</v>
      </c>
      <c r="BT93" s="29"/>
    </row>
    <row r="94" spans="1:72" ht="119.25" customHeight="1" x14ac:dyDescent="0.8">
      <c r="A94" s="12" t="s">
        <v>176</v>
      </c>
      <c r="B94" s="13" t="s">
        <v>222</v>
      </c>
      <c r="C94" s="29"/>
      <c r="D94" s="29"/>
      <c r="E94" s="29"/>
      <c r="F94" s="29"/>
      <c r="G94" s="29"/>
      <c r="H94" s="29"/>
      <c r="I94" s="29"/>
      <c r="J94" s="33">
        <f t="shared" si="25"/>
        <v>0</v>
      </c>
      <c r="K94" s="29"/>
      <c r="L94" s="29"/>
      <c r="M94" s="29"/>
      <c r="N94" s="29"/>
      <c r="O94" s="29"/>
      <c r="P94" s="29"/>
      <c r="Q94" s="29"/>
      <c r="R94" s="33"/>
      <c r="S94" s="33">
        <f t="shared" si="19"/>
        <v>1384847</v>
      </c>
      <c r="T94" s="29"/>
      <c r="U94" s="29">
        <f>1339500</f>
        <v>1339500</v>
      </c>
      <c r="V94" s="29">
        <v>45347</v>
      </c>
      <c r="W94" s="29"/>
      <c r="X94" s="29"/>
      <c r="Y94" s="29"/>
      <c r="Z94" s="29"/>
      <c r="AA94" s="33">
        <f t="shared" si="23"/>
        <v>0</v>
      </c>
      <c r="AB94" s="33"/>
      <c r="AC94" s="33"/>
      <c r="AD94" s="33">
        <f t="shared" si="24"/>
        <v>188355</v>
      </c>
      <c r="AE94" s="29">
        <v>67446</v>
      </c>
      <c r="AF94" s="29">
        <v>66933</v>
      </c>
      <c r="AG94" s="29">
        <v>53976</v>
      </c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>
        <v>200000</v>
      </c>
      <c r="AS94" s="29"/>
      <c r="AT94" s="29"/>
      <c r="AU94" s="29"/>
      <c r="AV94" s="29"/>
      <c r="AW94" s="29"/>
      <c r="AX94" s="29"/>
      <c r="AY94" s="29"/>
      <c r="AZ94" s="29"/>
      <c r="BA94" s="29"/>
      <c r="BB94" s="33"/>
      <c r="BC94" s="33"/>
      <c r="BD94" s="33">
        <f t="shared" si="21"/>
        <v>1773202</v>
      </c>
      <c r="BE94" s="33"/>
      <c r="BF94" s="33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33"/>
      <c r="BR94" s="33"/>
      <c r="BS94" s="33">
        <f t="shared" si="22"/>
        <v>0</v>
      </c>
      <c r="BT94" s="29"/>
    </row>
    <row r="95" spans="1:72" ht="59.25" customHeight="1" x14ac:dyDescent="0.8">
      <c r="A95" s="12" t="s">
        <v>169</v>
      </c>
      <c r="B95" s="13" t="s">
        <v>151</v>
      </c>
      <c r="C95" s="29"/>
      <c r="D95" s="29"/>
      <c r="E95" s="29"/>
      <c r="F95" s="29"/>
      <c r="G95" s="29"/>
      <c r="H95" s="29"/>
      <c r="I95" s="29"/>
      <c r="J95" s="33">
        <f t="shared" si="25"/>
        <v>0</v>
      </c>
      <c r="K95" s="29"/>
      <c r="L95" s="29"/>
      <c r="M95" s="29"/>
      <c r="N95" s="29"/>
      <c r="O95" s="29"/>
      <c r="P95" s="29"/>
      <c r="Q95" s="29"/>
      <c r="R95" s="33"/>
      <c r="S95" s="33">
        <f t="shared" si="19"/>
        <v>45347</v>
      </c>
      <c r="T95" s="29"/>
      <c r="U95" s="29"/>
      <c r="V95" s="29">
        <v>45347</v>
      </c>
      <c r="W95" s="29"/>
      <c r="X95" s="29"/>
      <c r="Y95" s="29"/>
      <c r="Z95" s="29"/>
      <c r="AA95" s="33">
        <f t="shared" si="23"/>
        <v>0</v>
      </c>
      <c r="AB95" s="33"/>
      <c r="AC95" s="33"/>
      <c r="AD95" s="33">
        <f t="shared" si="24"/>
        <v>158385</v>
      </c>
      <c r="AE95" s="29">
        <v>67446</v>
      </c>
      <c r="AF95" s="29">
        <v>36963</v>
      </c>
      <c r="AG95" s="29">
        <v>53976</v>
      </c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>
        <f>395000-225000</f>
        <v>170000</v>
      </c>
      <c r="AS95" s="29"/>
      <c r="AT95" s="29"/>
      <c r="AU95" s="29"/>
      <c r="AV95" s="29"/>
      <c r="AW95" s="29"/>
      <c r="AX95" s="29"/>
      <c r="AY95" s="29"/>
      <c r="AZ95" s="29"/>
      <c r="BA95" s="29"/>
      <c r="BB95" s="33"/>
      <c r="BC95" s="33"/>
      <c r="BD95" s="33">
        <f t="shared" si="21"/>
        <v>373732</v>
      </c>
      <c r="BE95" s="33"/>
      <c r="BF95" s="33"/>
      <c r="BG95" s="29"/>
      <c r="BH95" s="29"/>
      <c r="BI95" s="29"/>
      <c r="BJ95" s="29"/>
      <c r="BK95" s="29">
        <f>3700</f>
        <v>3700</v>
      </c>
      <c r="BL95" s="29"/>
      <c r="BM95" s="29"/>
      <c r="BN95" s="29"/>
      <c r="BO95" s="29"/>
      <c r="BP95" s="29"/>
      <c r="BQ95" s="33"/>
      <c r="BR95" s="33"/>
      <c r="BS95" s="33">
        <f t="shared" si="22"/>
        <v>3700</v>
      </c>
      <c r="BT95" s="29"/>
    </row>
    <row r="96" spans="1:72" ht="55.5" customHeight="1" x14ac:dyDescent="0.8">
      <c r="A96" s="12" t="s">
        <v>179</v>
      </c>
      <c r="B96" s="13" t="s">
        <v>157</v>
      </c>
      <c r="C96" s="29"/>
      <c r="D96" s="29"/>
      <c r="E96" s="29"/>
      <c r="F96" s="29"/>
      <c r="G96" s="29"/>
      <c r="H96" s="29"/>
      <c r="I96" s="29"/>
      <c r="J96" s="33">
        <f t="shared" si="25"/>
        <v>0</v>
      </c>
      <c r="K96" s="29"/>
      <c r="L96" s="29"/>
      <c r="M96" s="29"/>
      <c r="N96" s="29"/>
      <c r="O96" s="29"/>
      <c r="P96" s="29"/>
      <c r="Q96" s="29"/>
      <c r="R96" s="33"/>
      <c r="S96" s="33">
        <f t="shared" si="19"/>
        <v>90693</v>
      </c>
      <c r="T96" s="29"/>
      <c r="U96" s="29"/>
      <c r="V96" s="29">
        <v>90693</v>
      </c>
      <c r="W96" s="29"/>
      <c r="X96" s="29"/>
      <c r="Y96" s="29"/>
      <c r="Z96" s="29"/>
      <c r="AA96" s="33">
        <f t="shared" si="23"/>
        <v>948941</v>
      </c>
      <c r="AB96" s="33">
        <v>948941</v>
      </c>
      <c r="AC96" s="33"/>
      <c r="AD96" s="33">
        <f t="shared" si="24"/>
        <v>355741</v>
      </c>
      <c r="AE96" s="29">
        <v>134892</v>
      </c>
      <c r="AF96" s="29">
        <v>94905</v>
      </c>
      <c r="AG96" s="29">
        <v>125944</v>
      </c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>
        <f>425000-75000</f>
        <v>350000</v>
      </c>
      <c r="AS96" s="29"/>
      <c r="AT96" s="29"/>
      <c r="AU96" s="29"/>
      <c r="AV96" s="29"/>
      <c r="AW96" s="29"/>
      <c r="AX96" s="29"/>
      <c r="AY96" s="29"/>
      <c r="AZ96" s="29"/>
      <c r="BA96" s="29"/>
      <c r="BB96" s="33"/>
      <c r="BC96" s="33"/>
      <c r="BD96" s="33">
        <f t="shared" si="21"/>
        <v>1745375</v>
      </c>
      <c r="BE96" s="33"/>
      <c r="BF96" s="33"/>
      <c r="BG96" s="29"/>
      <c r="BH96" s="29">
        <v>150000</v>
      </c>
      <c r="BI96" s="29"/>
      <c r="BJ96" s="29"/>
      <c r="BK96" s="29">
        <f>11600</f>
        <v>11600</v>
      </c>
      <c r="BL96" s="29"/>
      <c r="BM96" s="29"/>
      <c r="BN96" s="29"/>
      <c r="BO96" s="29"/>
      <c r="BP96" s="29"/>
      <c r="BQ96" s="33"/>
      <c r="BR96" s="33"/>
      <c r="BS96" s="33">
        <f t="shared" si="22"/>
        <v>161600</v>
      </c>
      <c r="BT96" s="29"/>
    </row>
    <row r="97" spans="1:72" ht="59.25" customHeight="1" x14ac:dyDescent="0.8">
      <c r="A97" s="12" t="s">
        <v>261</v>
      </c>
      <c r="B97" s="13" t="s">
        <v>262</v>
      </c>
      <c r="C97" s="29"/>
      <c r="D97" s="29"/>
      <c r="E97" s="29"/>
      <c r="F97" s="29"/>
      <c r="G97" s="29"/>
      <c r="H97" s="29"/>
      <c r="I97" s="29"/>
      <c r="J97" s="33"/>
      <c r="K97" s="29"/>
      <c r="L97" s="29"/>
      <c r="M97" s="29"/>
      <c r="N97" s="29"/>
      <c r="O97" s="29"/>
      <c r="P97" s="29"/>
      <c r="Q97" s="29"/>
      <c r="R97" s="33"/>
      <c r="S97" s="33">
        <f t="shared" si="19"/>
        <v>790674</v>
      </c>
      <c r="T97" s="29"/>
      <c r="U97" s="29">
        <v>669750</v>
      </c>
      <c r="V97" s="29">
        <v>120924</v>
      </c>
      <c r="W97" s="29"/>
      <c r="X97" s="29"/>
      <c r="Y97" s="29"/>
      <c r="Z97" s="29"/>
      <c r="AA97" s="33">
        <f t="shared" si="23"/>
        <v>61222</v>
      </c>
      <c r="AB97" s="33">
        <v>61222</v>
      </c>
      <c r="AC97" s="33"/>
      <c r="AD97" s="33">
        <f t="shared" si="24"/>
        <v>376689</v>
      </c>
      <c r="AE97" s="29">
        <v>179856</v>
      </c>
      <c r="AF97" s="29">
        <v>142857</v>
      </c>
      <c r="AG97" s="29">
        <v>53976</v>
      </c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>
        <v>215000</v>
      </c>
      <c r="AS97" s="29"/>
      <c r="AT97" s="29"/>
      <c r="AU97" s="29"/>
      <c r="AV97" s="29"/>
      <c r="AW97" s="29"/>
      <c r="AX97" s="29"/>
      <c r="AY97" s="29"/>
      <c r="AZ97" s="29"/>
      <c r="BA97" s="29"/>
      <c r="BB97" s="33"/>
      <c r="BC97" s="33"/>
      <c r="BD97" s="33">
        <f t="shared" si="21"/>
        <v>1443585</v>
      </c>
      <c r="BE97" s="33"/>
      <c r="BF97" s="33"/>
      <c r="BG97" s="29"/>
      <c r="BH97" s="29"/>
      <c r="BI97" s="29"/>
      <c r="BJ97" s="29"/>
      <c r="BK97" s="29">
        <v>13200</v>
      </c>
      <c r="BL97" s="29"/>
      <c r="BM97" s="29"/>
      <c r="BN97" s="29"/>
      <c r="BO97" s="29"/>
      <c r="BP97" s="29"/>
      <c r="BQ97" s="33"/>
      <c r="BR97" s="33"/>
      <c r="BS97" s="33">
        <f t="shared" si="22"/>
        <v>13200</v>
      </c>
      <c r="BT97" s="29"/>
    </row>
    <row r="98" spans="1:72" ht="63" customHeight="1" x14ac:dyDescent="0.8">
      <c r="A98" s="12" t="s">
        <v>180</v>
      </c>
      <c r="B98" s="13" t="s">
        <v>158</v>
      </c>
      <c r="C98" s="29"/>
      <c r="D98" s="29"/>
      <c r="E98" s="29"/>
      <c r="F98" s="29"/>
      <c r="G98" s="29"/>
      <c r="H98" s="29"/>
      <c r="I98" s="29"/>
      <c r="J98" s="33">
        <f t="shared" si="25"/>
        <v>0</v>
      </c>
      <c r="K98" s="29"/>
      <c r="L98" s="29"/>
      <c r="M98" s="29"/>
      <c r="N98" s="29"/>
      <c r="O98" s="29"/>
      <c r="P98" s="29"/>
      <c r="Q98" s="29"/>
      <c r="R98" s="33"/>
      <c r="S98" s="33">
        <f t="shared" si="19"/>
        <v>730212</v>
      </c>
      <c r="T98" s="29"/>
      <c r="U98" s="29">
        <v>669750</v>
      </c>
      <c r="V98" s="29">
        <v>60462</v>
      </c>
      <c r="W98" s="29"/>
      <c r="X98" s="29"/>
      <c r="Y98" s="29"/>
      <c r="Z98" s="29"/>
      <c r="AA98" s="33">
        <f t="shared" si="23"/>
        <v>0</v>
      </c>
      <c r="AB98" s="33"/>
      <c r="AC98" s="33"/>
      <c r="AD98" s="33">
        <f t="shared" si="24"/>
        <v>232825</v>
      </c>
      <c r="AE98" s="29">
        <v>89928</v>
      </c>
      <c r="AF98" s="29">
        <v>70929</v>
      </c>
      <c r="AG98" s="29">
        <v>71968</v>
      </c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>
        <f>70000+380000</f>
        <v>450000</v>
      </c>
      <c r="AS98" s="29"/>
      <c r="AT98" s="29"/>
      <c r="AU98" s="29"/>
      <c r="AV98" s="29"/>
      <c r="AW98" s="29"/>
      <c r="AX98" s="29"/>
      <c r="AY98" s="29"/>
      <c r="AZ98" s="29"/>
      <c r="BA98" s="29"/>
      <c r="BB98" s="33"/>
      <c r="BC98" s="33"/>
      <c r="BD98" s="33">
        <f t="shared" si="21"/>
        <v>1413037</v>
      </c>
      <c r="BE98" s="33"/>
      <c r="BF98" s="33"/>
      <c r="BG98" s="29"/>
      <c r="BH98" s="29"/>
      <c r="BI98" s="29"/>
      <c r="BJ98" s="29"/>
      <c r="BK98" s="29">
        <f>5300</f>
        <v>5300</v>
      </c>
      <c r="BL98" s="29"/>
      <c r="BM98" s="29"/>
      <c r="BN98" s="29"/>
      <c r="BO98" s="29"/>
      <c r="BP98" s="29"/>
      <c r="BQ98" s="33"/>
      <c r="BR98" s="33"/>
      <c r="BS98" s="33">
        <f t="shared" si="22"/>
        <v>5300</v>
      </c>
      <c r="BT98" s="29"/>
    </row>
    <row r="99" spans="1:72" ht="55.5" customHeight="1" x14ac:dyDescent="0.8">
      <c r="A99" s="12" t="s">
        <v>171</v>
      </c>
      <c r="B99" s="13" t="s">
        <v>153</v>
      </c>
      <c r="C99" s="29"/>
      <c r="D99" s="29"/>
      <c r="E99" s="29"/>
      <c r="F99" s="29"/>
      <c r="G99" s="29"/>
      <c r="H99" s="29"/>
      <c r="I99" s="29"/>
      <c r="J99" s="33">
        <f t="shared" si="25"/>
        <v>0</v>
      </c>
      <c r="K99" s="29"/>
      <c r="L99" s="29"/>
      <c r="M99" s="29"/>
      <c r="N99" s="29"/>
      <c r="O99" s="29"/>
      <c r="P99" s="29"/>
      <c r="Q99" s="29"/>
      <c r="R99" s="33"/>
      <c r="S99" s="33">
        <f t="shared" si="19"/>
        <v>30231</v>
      </c>
      <c r="T99" s="29"/>
      <c r="U99" s="29"/>
      <c r="V99" s="29">
        <v>30231</v>
      </c>
      <c r="W99" s="29"/>
      <c r="X99" s="29"/>
      <c r="Y99" s="29"/>
      <c r="Z99" s="29"/>
      <c r="AA99" s="33">
        <f t="shared" si="23"/>
        <v>30611</v>
      </c>
      <c r="AB99" s="33">
        <v>30611</v>
      </c>
      <c r="AC99" s="33"/>
      <c r="AD99" s="33">
        <f t="shared" si="24"/>
        <v>120908</v>
      </c>
      <c r="AE99" s="29">
        <v>44964</v>
      </c>
      <c r="AF99" s="29">
        <v>39960</v>
      </c>
      <c r="AG99" s="29">
        <v>35984</v>
      </c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>
        <v>17500</v>
      </c>
      <c r="AS99" s="29"/>
      <c r="AT99" s="29"/>
      <c r="AU99" s="29"/>
      <c r="AV99" s="29"/>
      <c r="AW99" s="29"/>
      <c r="AX99" s="29"/>
      <c r="AY99" s="29"/>
      <c r="AZ99" s="29"/>
      <c r="BA99" s="29"/>
      <c r="BB99" s="33"/>
      <c r="BC99" s="33"/>
      <c r="BD99" s="33">
        <f t="shared" si="21"/>
        <v>199250</v>
      </c>
      <c r="BE99" s="33"/>
      <c r="BF99" s="33"/>
      <c r="BG99" s="29"/>
      <c r="BH99" s="29"/>
      <c r="BI99" s="29"/>
      <c r="BJ99" s="29"/>
      <c r="BK99" s="29">
        <v>3500</v>
      </c>
      <c r="BL99" s="29"/>
      <c r="BM99" s="29"/>
      <c r="BN99" s="29"/>
      <c r="BO99" s="29"/>
      <c r="BP99" s="29"/>
      <c r="BQ99" s="33"/>
      <c r="BR99" s="33"/>
      <c r="BS99" s="33">
        <f t="shared" si="22"/>
        <v>3500</v>
      </c>
      <c r="BT99" s="29"/>
    </row>
    <row r="100" spans="1:72" ht="63" customHeight="1" x14ac:dyDescent="0.8">
      <c r="A100" s="12" t="s">
        <v>170</v>
      </c>
      <c r="B100" s="13" t="s">
        <v>152</v>
      </c>
      <c r="C100" s="29"/>
      <c r="D100" s="29"/>
      <c r="E100" s="29"/>
      <c r="F100" s="29"/>
      <c r="G100" s="29"/>
      <c r="H100" s="29"/>
      <c r="I100" s="29"/>
      <c r="J100" s="33">
        <f t="shared" si="25"/>
        <v>0</v>
      </c>
      <c r="K100" s="29"/>
      <c r="L100" s="29"/>
      <c r="M100" s="29"/>
      <c r="N100" s="29"/>
      <c r="O100" s="29"/>
      <c r="P100" s="29"/>
      <c r="Q100" s="29"/>
      <c r="R100" s="33"/>
      <c r="S100" s="33">
        <f t="shared" si="19"/>
        <v>1354616</v>
      </c>
      <c r="T100" s="29"/>
      <c r="U100" s="29">
        <f>1339500</f>
        <v>1339500</v>
      </c>
      <c r="V100" s="29">
        <v>15116</v>
      </c>
      <c r="W100" s="29"/>
      <c r="X100" s="29"/>
      <c r="Y100" s="29"/>
      <c r="Z100" s="29"/>
      <c r="AA100" s="33">
        <f t="shared" si="23"/>
        <v>0</v>
      </c>
      <c r="AB100" s="33"/>
      <c r="AC100" s="33"/>
      <c r="AD100" s="33">
        <f t="shared" si="24"/>
        <v>93925</v>
      </c>
      <c r="AE100" s="29">
        <v>44964</v>
      </c>
      <c r="AF100" s="29">
        <v>30969</v>
      </c>
      <c r="AG100" s="29">
        <v>17992</v>
      </c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>
        <f>50000+250000</f>
        <v>300000</v>
      </c>
      <c r="AS100" s="29"/>
      <c r="AT100" s="29"/>
      <c r="AU100" s="29"/>
      <c r="AV100" s="29"/>
      <c r="AW100" s="29"/>
      <c r="AX100" s="29"/>
      <c r="AY100" s="29"/>
      <c r="AZ100" s="29"/>
      <c r="BA100" s="29"/>
      <c r="BB100" s="33"/>
      <c r="BC100" s="33"/>
      <c r="BD100" s="33">
        <f t="shared" si="21"/>
        <v>1748541</v>
      </c>
      <c r="BE100" s="33"/>
      <c r="BF100" s="33"/>
      <c r="BG100" s="29"/>
      <c r="BH100" s="29">
        <v>2500000</v>
      </c>
      <c r="BI100" s="29"/>
      <c r="BJ100" s="29"/>
      <c r="BK100" s="29">
        <v>5100</v>
      </c>
      <c r="BL100" s="29"/>
      <c r="BM100" s="29"/>
      <c r="BN100" s="29"/>
      <c r="BO100" s="29"/>
      <c r="BP100" s="29"/>
      <c r="BQ100" s="33"/>
      <c r="BR100" s="33"/>
      <c r="BS100" s="33">
        <f t="shared" si="22"/>
        <v>2505100</v>
      </c>
      <c r="BT100" s="29"/>
    </row>
    <row r="101" spans="1:72" ht="63" customHeight="1" x14ac:dyDescent="0.8">
      <c r="A101" s="12" t="s">
        <v>220</v>
      </c>
      <c r="B101" s="13" t="s">
        <v>161</v>
      </c>
      <c r="C101" s="29"/>
      <c r="D101" s="29"/>
      <c r="E101" s="29"/>
      <c r="F101" s="29"/>
      <c r="G101" s="29"/>
      <c r="H101" s="29"/>
      <c r="I101" s="29"/>
      <c r="J101" s="33">
        <f>K101</f>
        <v>0</v>
      </c>
      <c r="K101" s="29"/>
      <c r="L101" s="29"/>
      <c r="M101" s="29"/>
      <c r="N101" s="29"/>
      <c r="O101" s="29"/>
      <c r="P101" s="29"/>
      <c r="Q101" s="29"/>
      <c r="R101" s="33"/>
      <c r="S101" s="33">
        <f t="shared" si="19"/>
        <v>90693</v>
      </c>
      <c r="T101" s="29"/>
      <c r="U101" s="29"/>
      <c r="V101" s="29">
        <v>90693</v>
      </c>
      <c r="W101" s="29"/>
      <c r="X101" s="29"/>
      <c r="Y101" s="29"/>
      <c r="Z101" s="29"/>
      <c r="AA101" s="33">
        <f t="shared" si="23"/>
        <v>0</v>
      </c>
      <c r="AB101" s="33"/>
      <c r="AC101" s="33"/>
      <c r="AD101" s="33">
        <f t="shared" si="24"/>
        <v>474126</v>
      </c>
      <c r="AE101" s="29">
        <v>202338</v>
      </c>
      <c r="AF101" s="29">
        <v>163836</v>
      </c>
      <c r="AG101" s="29">
        <v>107952</v>
      </c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>
        <f>330000+170000</f>
        <v>500000</v>
      </c>
      <c r="AS101" s="29"/>
      <c r="AT101" s="29"/>
      <c r="AU101" s="29"/>
      <c r="AV101" s="29"/>
      <c r="AW101" s="29"/>
      <c r="AX101" s="29"/>
      <c r="AY101" s="29"/>
      <c r="AZ101" s="29"/>
      <c r="BA101" s="29"/>
      <c r="BB101" s="33"/>
      <c r="BC101" s="33"/>
      <c r="BD101" s="33">
        <f t="shared" si="21"/>
        <v>1064819</v>
      </c>
      <c r="BE101" s="33"/>
      <c r="BF101" s="33"/>
      <c r="BG101" s="29"/>
      <c r="BH101" s="29"/>
      <c r="BI101" s="29"/>
      <c r="BJ101" s="29"/>
      <c r="BK101" s="29">
        <v>13500</v>
      </c>
      <c r="BL101" s="29"/>
      <c r="BM101" s="29"/>
      <c r="BN101" s="29"/>
      <c r="BO101" s="29"/>
      <c r="BP101" s="29"/>
      <c r="BQ101" s="33"/>
      <c r="BR101" s="33"/>
      <c r="BS101" s="33">
        <f t="shared" si="22"/>
        <v>13500</v>
      </c>
      <c r="BT101" s="29"/>
    </row>
    <row r="102" spans="1:72" ht="63" customHeight="1" x14ac:dyDescent="0.8">
      <c r="A102" s="12" t="s">
        <v>237</v>
      </c>
      <c r="B102" s="13" t="s">
        <v>238</v>
      </c>
      <c r="C102" s="29"/>
      <c r="D102" s="29"/>
      <c r="E102" s="29"/>
      <c r="F102" s="29"/>
      <c r="G102" s="29"/>
      <c r="H102" s="29"/>
      <c r="I102" s="29"/>
      <c r="J102" s="33"/>
      <c r="K102" s="29"/>
      <c r="L102" s="29"/>
      <c r="M102" s="29"/>
      <c r="N102" s="29">
        <v>312053</v>
      </c>
      <c r="O102" s="29">
        <v>47056</v>
      </c>
      <c r="P102" s="29">
        <f>178299</f>
        <v>178299</v>
      </c>
      <c r="Q102" s="29"/>
      <c r="R102" s="33"/>
      <c r="S102" s="33">
        <f t="shared" si="19"/>
        <v>644347</v>
      </c>
      <c r="T102" s="29">
        <v>102000</v>
      </c>
      <c r="U102" s="29"/>
      <c r="V102" s="29">
        <v>45347</v>
      </c>
      <c r="W102" s="29"/>
      <c r="X102" s="29"/>
      <c r="Y102" s="29"/>
      <c r="Z102" s="29">
        <v>497000</v>
      </c>
      <c r="AA102" s="33">
        <f t="shared" si="23"/>
        <v>0</v>
      </c>
      <c r="AB102" s="33"/>
      <c r="AC102" s="33"/>
      <c r="AD102" s="33">
        <f t="shared" si="24"/>
        <v>173370</v>
      </c>
      <c r="AE102" s="29">
        <v>67446</v>
      </c>
      <c r="AF102" s="29">
        <v>51948</v>
      </c>
      <c r="AG102" s="29">
        <v>53976</v>
      </c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>
        <v>200000</v>
      </c>
      <c r="AS102" s="29"/>
      <c r="AT102" s="29"/>
      <c r="AU102" s="29"/>
      <c r="AV102" s="29"/>
      <c r="AW102" s="29"/>
      <c r="AX102" s="29"/>
      <c r="AY102" s="29"/>
      <c r="AZ102" s="29"/>
      <c r="BA102" s="29"/>
      <c r="BB102" s="33"/>
      <c r="BC102" s="33"/>
      <c r="BD102" s="33">
        <f t="shared" si="21"/>
        <v>1555125</v>
      </c>
      <c r="BE102" s="33"/>
      <c r="BF102" s="33"/>
      <c r="BG102" s="29"/>
      <c r="BH102" s="29"/>
      <c r="BI102" s="29"/>
      <c r="BJ102" s="29"/>
      <c r="BK102" s="29">
        <v>5800</v>
      </c>
      <c r="BL102" s="29"/>
      <c r="BM102" s="29"/>
      <c r="BN102" s="29"/>
      <c r="BO102" s="29"/>
      <c r="BP102" s="29"/>
      <c r="BQ102" s="33"/>
      <c r="BR102" s="33"/>
      <c r="BS102" s="33">
        <f t="shared" si="22"/>
        <v>5800</v>
      </c>
      <c r="BT102" s="29"/>
    </row>
    <row r="103" spans="1:72" ht="63" customHeight="1" x14ac:dyDescent="0.8">
      <c r="A103" s="12" t="s">
        <v>294</v>
      </c>
      <c r="B103" s="13" t="s">
        <v>292</v>
      </c>
      <c r="C103" s="29"/>
      <c r="D103" s="29"/>
      <c r="E103" s="29"/>
      <c r="F103" s="29"/>
      <c r="G103" s="29"/>
      <c r="H103" s="29"/>
      <c r="I103" s="29"/>
      <c r="J103" s="33"/>
      <c r="K103" s="29"/>
      <c r="L103" s="29"/>
      <c r="M103" s="29"/>
      <c r="N103" s="29"/>
      <c r="O103" s="29"/>
      <c r="P103" s="29"/>
      <c r="Q103" s="29"/>
      <c r="R103" s="33"/>
      <c r="S103" s="33">
        <f t="shared" si="19"/>
        <v>15116</v>
      </c>
      <c r="T103" s="29"/>
      <c r="U103" s="29"/>
      <c r="V103" s="29">
        <v>15116</v>
      </c>
      <c r="W103" s="29"/>
      <c r="X103" s="29"/>
      <c r="Y103" s="29"/>
      <c r="Z103" s="29"/>
      <c r="AA103" s="33">
        <f t="shared" si="23"/>
        <v>0</v>
      </c>
      <c r="AB103" s="33"/>
      <c r="AC103" s="33"/>
      <c r="AD103" s="33">
        <f t="shared" si="24"/>
        <v>70444</v>
      </c>
      <c r="AE103" s="29">
        <v>22482</v>
      </c>
      <c r="AF103" s="29">
        <v>29970</v>
      </c>
      <c r="AG103" s="29">
        <v>17992</v>
      </c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33"/>
      <c r="BC103" s="33"/>
      <c r="BD103" s="33">
        <f t="shared" si="21"/>
        <v>85560</v>
      </c>
      <c r="BE103" s="33"/>
      <c r="BF103" s="33"/>
      <c r="BG103" s="29"/>
      <c r="BH103" s="29"/>
      <c r="BI103" s="29"/>
      <c r="BJ103" s="29"/>
      <c r="BK103" s="29">
        <v>3600</v>
      </c>
      <c r="BL103" s="29"/>
      <c r="BM103" s="29"/>
      <c r="BN103" s="29"/>
      <c r="BO103" s="29"/>
      <c r="BP103" s="29"/>
      <c r="BQ103" s="33"/>
      <c r="BR103" s="33"/>
      <c r="BS103" s="33">
        <f t="shared" si="22"/>
        <v>3600</v>
      </c>
      <c r="BT103" s="29"/>
    </row>
    <row r="104" spans="1:72" ht="63" customHeight="1" x14ac:dyDescent="0.8">
      <c r="A104" s="12" t="s">
        <v>184</v>
      </c>
      <c r="B104" s="13" t="s">
        <v>204</v>
      </c>
      <c r="C104" s="29"/>
      <c r="D104" s="29"/>
      <c r="E104" s="29"/>
      <c r="F104" s="29"/>
      <c r="G104" s="29"/>
      <c r="H104" s="29"/>
      <c r="I104" s="29"/>
      <c r="J104" s="33">
        <f>K104+L104+M104</f>
        <v>62500</v>
      </c>
      <c r="K104" s="29">
        <v>62500</v>
      </c>
      <c r="L104" s="29"/>
      <c r="M104" s="29"/>
      <c r="N104" s="29"/>
      <c r="O104" s="29"/>
      <c r="P104" s="29"/>
      <c r="Q104" s="29"/>
      <c r="R104" s="33"/>
      <c r="S104" s="33">
        <f t="shared" si="19"/>
        <v>30231</v>
      </c>
      <c r="T104" s="29"/>
      <c r="U104" s="29"/>
      <c r="V104" s="29">
        <v>30231</v>
      </c>
      <c r="W104" s="29"/>
      <c r="X104" s="29"/>
      <c r="Y104" s="29"/>
      <c r="Z104" s="29"/>
      <c r="AA104" s="33">
        <f t="shared" si="23"/>
        <v>0</v>
      </c>
      <c r="AB104" s="33"/>
      <c r="AC104" s="33"/>
      <c r="AD104" s="33">
        <f t="shared" si="24"/>
        <v>100928</v>
      </c>
      <c r="AE104" s="29">
        <v>44964</v>
      </c>
      <c r="AF104" s="29">
        <v>19980</v>
      </c>
      <c r="AG104" s="29">
        <v>35984</v>
      </c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33"/>
      <c r="BC104" s="33"/>
      <c r="BD104" s="33">
        <f t="shared" si="21"/>
        <v>193659</v>
      </c>
      <c r="BE104" s="33"/>
      <c r="BF104" s="33"/>
      <c r="BG104" s="29"/>
      <c r="BH104" s="29"/>
      <c r="BI104" s="29"/>
      <c r="BJ104" s="29"/>
      <c r="BK104" s="29">
        <v>5600</v>
      </c>
      <c r="BL104" s="29"/>
      <c r="BM104" s="29"/>
      <c r="BN104" s="29"/>
      <c r="BO104" s="29"/>
      <c r="BP104" s="29"/>
      <c r="BQ104" s="33"/>
      <c r="BR104" s="33"/>
      <c r="BS104" s="33">
        <f t="shared" si="22"/>
        <v>5600</v>
      </c>
      <c r="BT104" s="29"/>
    </row>
    <row r="105" spans="1:72" ht="63" customHeight="1" x14ac:dyDescent="0.8">
      <c r="A105" s="12" t="s">
        <v>295</v>
      </c>
      <c r="B105" s="13" t="s">
        <v>293</v>
      </c>
      <c r="C105" s="29"/>
      <c r="D105" s="29"/>
      <c r="E105" s="29"/>
      <c r="F105" s="29"/>
      <c r="G105" s="29"/>
      <c r="H105" s="29"/>
      <c r="I105" s="29"/>
      <c r="J105" s="33"/>
      <c r="K105" s="29"/>
      <c r="L105" s="29"/>
      <c r="M105" s="29"/>
      <c r="N105" s="29"/>
      <c r="O105" s="29"/>
      <c r="P105" s="29"/>
      <c r="Q105" s="29"/>
      <c r="R105" s="33"/>
      <c r="S105" s="33">
        <f>T105+U105+V105+W105+X105+Y105+Z105</f>
        <v>75578</v>
      </c>
      <c r="T105" s="29"/>
      <c r="U105" s="29"/>
      <c r="V105" s="29">
        <v>75578</v>
      </c>
      <c r="W105" s="29"/>
      <c r="X105" s="29"/>
      <c r="Y105" s="29"/>
      <c r="Z105" s="29"/>
      <c r="AA105" s="33">
        <f t="shared" si="23"/>
        <v>0</v>
      </c>
      <c r="AB105" s="33"/>
      <c r="AC105" s="33"/>
      <c r="AD105" s="33">
        <f t="shared" si="24"/>
        <v>262310</v>
      </c>
      <c r="AE105" s="29">
        <v>112410</v>
      </c>
      <c r="AF105" s="29">
        <v>59940</v>
      </c>
      <c r="AG105" s="29">
        <v>89960</v>
      </c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33"/>
      <c r="BC105" s="33"/>
      <c r="BD105" s="33">
        <f t="shared" si="21"/>
        <v>337888</v>
      </c>
      <c r="BE105" s="33"/>
      <c r="BF105" s="33"/>
      <c r="BG105" s="29"/>
      <c r="BH105" s="29">
        <f>150000</f>
        <v>150000</v>
      </c>
      <c r="BI105" s="29"/>
      <c r="BJ105" s="29"/>
      <c r="BK105" s="29"/>
      <c r="BL105" s="29"/>
      <c r="BM105" s="29"/>
      <c r="BN105" s="29"/>
      <c r="BO105" s="29"/>
      <c r="BP105" s="29"/>
      <c r="BQ105" s="33"/>
      <c r="BR105" s="33"/>
      <c r="BS105" s="33">
        <f t="shared" si="22"/>
        <v>150000</v>
      </c>
      <c r="BT105" s="29"/>
    </row>
    <row r="106" spans="1:72" ht="63" customHeight="1" x14ac:dyDescent="0.8">
      <c r="A106" s="12" t="s">
        <v>185</v>
      </c>
      <c r="B106" s="13" t="s">
        <v>205</v>
      </c>
      <c r="C106" s="29"/>
      <c r="D106" s="29"/>
      <c r="E106" s="29"/>
      <c r="F106" s="29"/>
      <c r="G106" s="29"/>
      <c r="H106" s="29"/>
      <c r="I106" s="29"/>
      <c r="J106" s="33">
        <f>K106+L106+M106</f>
        <v>79200</v>
      </c>
      <c r="K106" s="29">
        <v>79200</v>
      </c>
      <c r="L106" s="29"/>
      <c r="M106" s="29"/>
      <c r="N106" s="29"/>
      <c r="O106" s="29"/>
      <c r="P106" s="29"/>
      <c r="Q106" s="29"/>
      <c r="R106" s="33"/>
      <c r="S106" s="33">
        <f t="shared" si="19"/>
        <v>60462</v>
      </c>
      <c r="T106" s="29"/>
      <c r="U106" s="29"/>
      <c r="V106" s="29">
        <v>60462</v>
      </c>
      <c r="W106" s="29"/>
      <c r="X106" s="29"/>
      <c r="Y106" s="29"/>
      <c r="Z106" s="29"/>
      <c r="AA106" s="33">
        <f t="shared" si="23"/>
        <v>0</v>
      </c>
      <c r="AB106" s="33"/>
      <c r="AC106" s="33"/>
      <c r="AD106" s="33">
        <f t="shared" si="24"/>
        <v>200857</v>
      </c>
      <c r="AE106" s="29">
        <v>89928</v>
      </c>
      <c r="AF106" s="29">
        <v>38961</v>
      </c>
      <c r="AG106" s="29">
        <v>71968</v>
      </c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33"/>
      <c r="BC106" s="33"/>
      <c r="BD106" s="33">
        <f t="shared" si="21"/>
        <v>340519</v>
      </c>
      <c r="BE106" s="33"/>
      <c r="BF106" s="33"/>
      <c r="BG106" s="29"/>
      <c r="BH106" s="71">
        <v>500000</v>
      </c>
      <c r="BI106" s="29"/>
      <c r="BJ106" s="29"/>
      <c r="BK106" s="29">
        <v>4400</v>
      </c>
      <c r="BL106" s="29"/>
      <c r="BM106" s="29"/>
      <c r="BN106" s="29"/>
      <c r="BO106" s="29"/>
      <c r="BP106" s="29"/>
      <c r="BQ106" s="33"/>
      <c r="BR106" s="33"/>
      <c r="BS106" s="33">
        <f t="shared" si="22"/>
        <v>504400</v>
      </c>
      <c r="BT106" s="29"/>
    </row>
    <row r="107" spans="1:72" ht="63" customHeight="1" x14ac:dyDescent="0.8">
      <c r="A107" s="12"/>
      <c r="B107" s="13" t="s">
        <v>50</v>
      </c>
      <c r="C107" s="29">
        <f t="shared" ref="C107:BC107" si="26">SUM(C51:C106)</f>
        <v>0</v>
      </c>
      <c r="D107" s="29">
        <f t="shared" si="26"/>
        <v>31956200</v>
      </c>
      <c r="E107" s="29">
        <f t="shared" si="26"/>
        <v>0</v>
      </c>
      <c r="F107" s="29">
        <f t="shared" si="26"/>
        <v>0</v>
      </c>
      <c r="G107" s="29">
        <f t="shared" si="26"/>
        <v>0</v>
      </c>
      <c r="H107" s="29">
        <f t="shared" si="26"/>
        <v>0</v>
      </c>
      <c r="I107" s="29">
        <f t="shared" si="26"/>
        <v>0</v>
      </c>
      <c r="J107" s="29">
        <f t="shared" si="26"/>
        <v>141700</v>
      </c>
      <c r="K107" s="29">
        <f t="shared" si="26"/>
        <v>141700</v>
      </c>
      <c r="L107" s="29">
        <f t="shared" si="26"/>
        <v>0</v>
      </c>
      <c r="M107" s="29">
        <f t="shared" si="26"/>
        <v>0</v>
      </c>
      <c r="N107" s="29">
        <f t="shared" si="26"/>
        <v>4323232</v>
      </c>
      <c r="O107" s="29">
        <f t="shared" si="26"/>
        <v>651919</v>
      </c>
      <c r="P107" s="29">
        <f t="shared" si="26"/>
        <v>3440292</v>
      </c>
      <c r="Q107" s="29">
        <f t="shared" si="26"/>
        <v>0</v>
      </c>
      <c r="R107" s="29">
        <f t="shared" si="26"/>
        <v>0</v>
      </c>
      <c r="S107" s="29">
        <f>SUM(S51:S106)</f>
        <v>33078117.129999999</v>
      </c>
      <c r="T107" s="29">
        <f t="shared" si="26"/>
        <v>11419256.379999999</v>
      </c>
      <c r="U107" s="29">
        <f t="shared" si="26"/>
        <v>16074000</v>
      </c>
      <c r="V107" s="29">
        <f t="shared" si="26"/>
        <v>3960275</v>
      </c>
      <c r="W107" s="29">
        <f t="shared" si="26"/>
        <v>400000</v>
      </c>
      <c r="X107" s="29">
        <f t="shared" si="26"/>
        <v>0</v>
      </c>
      <c r="Y107" s="29">
        <f t="shared" si="26"/>
        <v>0</v>
      </c>
      <c r="Z107" s="29">
        <f t="shared" si="26"/>
        <v>1224585.75</v>
      </c>
      <c r="AA107" s="33">
        <f t="shared" si="23"/>
        <v>5169065</v>
      </c>
      <c r="AB107" s="33">
        <f>SUM(AB51:AB106)</f>
        <v>3520265</v>
      </c>
      <c r="AC107" s="33">
        <f>SUM(AC51:AC106)</f>
        <v>1648800</v>
      </c>
      <c r="AD107" s="33">
        <f t="shared" si="24"/>
        <v>13972193</v>
      </c>
      <c r="AE107" s="29">
        <f>SUM(AE51:AE106)</f>
        <v>5980212</v>
      </c>
      <c r="AF107" s="29">
        <f>SUM(AF51:AF106)</f>
        <v>4429566</v>
      </c>
      <c r="AG107" s="29">
        <f>SUM(AG51:AG106)</f>
        <v>3562415</v>
      </c>
      <c r="AH107" s="29">
        <f t="shared" si="26"/>
        <v>0</v>
      </c>
      <c r="AI107" s="29">
        <f t="shared" si="26"/>
        <v>0</v>
      </c>
      <c r="AJ107" s="29">
        <f t="shared" si="26"/>
        <v>0</v>
      </c>
      <c r="AK107" s="29">
        <f t="shared" si="26"/>
        <v>0</v>
      </c>
      <c r="AL107" s="29">
        <f t="shared" si="26"/>
        <v>0</v>
      </c>
      <c r="AM107" s="29">
        <f t="shared" si="26"/>
        <v>0</v>
      </c>
      <c r="AN107" s="29">
        <f t="shared" si="26"/>
        <v>0</v>
      </c>
      <c r="AO107" s="29">
        <f t="shared" si="26"/>
        <v>0</v>
      </c>
      <c r="AP107" s="29">
        <f t="shared" si="26"/>
        <v>0</v>
      </c>
      <c r="AQ107" s="29">
        <f t="shared" si="26"/>
        <v>0</v>
      </c>
      <c r="AR107" s="29">
        <f t="shared" si="26"/>
        <v>6915000</v>
      </c>
      <c r="AS107" s="29">
        <f t="shared" si="26"/>
        <v>0</v>
      </c>
      <c r="AT107" s="29">
        <f t="shared" si="26"/>
        <v>0</v>
      </c>
      <c r="AU107" s="29">
        <f t="shared" si="26"/>
        <v>0</v>
      </c>
      <c r="AV107" s="29">
        <f t="shared" si="26"/>
        <v>0</v>
      </c>
      <c r="AW107" s="29">
        <f t="shared" si="26"/>
        <v>2750000</v>
      </c>
      <c r="AX107" s="29">
        <f t="shared" si="26"/>
        <v>0</v>
      </c>
      <c r="AY107" s="29">
        <f t="shared" si="26"/>
        <v>0</v>
      </c>
      <c r="AZ107" s="29">
        <f t="shared" si="26"/>
        <v>0</v>
      </c>
      <c r="BA107" s="29">
        <f t="shared" si="26"/>
        <v>1250000</v>
      </c>
      <c r="BB107" s="29">
        <f t="shared" si="26"/>
        <v>0</v>
      </c>
      <c r="BC107" s="29">
        <f t="shared" si="26"/>
        <v>0</v>
      </c>
      <c r="BD107" s="33">
        <f t="shared" si="21"/>
        <v>103647718.13</v>
      </c>
      <c r="BE107" s="29">
        <f t="shared" ref="BE107:BR107" si="27">SUM(BE51:BE106)</f>
        <v>0</v>
      </c>
      <c r="BF107" s="29">
        <f t="shared" si="27"/>
        <v>0</v>
      </c>
      <c r="BG107" s="29">
        <f t="shared" si="27"/>
        <v>1000000</v>
      </c>
      <c r="BH107" s="71">
        <f>SUM(BH51:BH106)</f>
        <v>9777000</v>
      </c>
      <c r="BI107" s="71">
        <f t="shared" si="27"/>
        <v>33600000</v>
      </c>
      <c r="BJ107" s="29">
        <f t="shared" si="27"/>
        <v>0</v>
      </c>
      <c r="BK107" s="71">
        <f>SUM(BK51:BK106)</f>
        <v>401199</v>
      </c>
      <c r="BL107" s="29">
        <f t="shared" si="27"/>
        <v>0</v>
      </c>
      <c r="BM107" s="29">
        <f t="shared" si="27"/>
        <v>0</v>
      </c>
      <c r="BN107" s="29">
        <f t="shared" si="27"/>
        <v>0</v>
      </c>
      <c r="BO107" s="29">
        <f t="shared" si="27"/>
        <v>0</v>
      </c>
      <c r="BP107" s="29">
        <f t="shared" si="27"/>
        <v>0</v>
      </c>
      <c r="BQ107" s="29">
        <f t="shared" si="27"/>
        <v>0</v>
      </c>
      <c r="BR107" s="29">
        <f t="shared" si="27"/>
        <v>0</v>
      </c>
      <c r="BS107" s="33">
        <f t="shared" si="22"/>
        <v>44778199</v>
      </c>
      <c r="BT107" s="29">
        <f>BT51+BT52+BT53+BT54+BT56+BT57+BT58+BT59+BT60+BT61+BT62+BT63+BT64+BT101+BT67+BT68+BT69+BT71+BT74+BT77+BT79+BT80+BT81+BT82+BT83+BT84+BT85+BT87+BT88+BT89+BT90+BT91+BT92+BT93+BT94+BT95+BT96+BT98+BT99+BT100+BT104+BT106+BT65+BT78+BT76+BT70</f>
        <v>0</v>
      </c>
    </row>
    <row r="108" spans="1:72" ht="59.25" customHeight="1" x14ac:dyDescent="0.8">
      <c r="A108" s="12" t="s">
        <v>217</v>
      </c>
      <c r="B108" s="13" t="s">
        <v>218</v>
      </c>
      <c r="C108" s="29"/>
      <c r="D108" s="29"/>
      <c r="E108" s="29"/>
      <c r="F108" s="29"/>
      <c r="G108" s="29"/>
      <c r="H108" s="29"/>
      <c r="I108" s="29"/>
      <c r="J108" s="33"/>
      <c r="K108" s="29"/>
      <c r="L108" s="29"/>
      <c r="M108" s="29"/>
      <c r="N108" s="29"/>
      <c r="O108" s="29"/>
      <c r="P108" s="29"/>
      <c r="Q108" s="29"/>
      <c r="R108" s="33"/>
      <c r="S108" s="33">
        <f t="shared" si="19"/>
        <v>0</v>
      </c>
      <c r="T108" s="29"/>
      <c r="U108" s="29"/>
      <c r="V108" s="29"/>
      <c r="W108" s="29"/>
      <c r="X108" s="29"/>
      <c r="Y108" s="29"/>
      <c r="Z108" s="29"/>
      <c r="AA108" s="33">
        <f t="shared" si="23"/>
        <v>0</v>
      </c>
      <c r="AB108" s="33"/>
      <c r="AC108" s="33"/>
      <c r="AD108" s="33">
        <f t="shared" si="24"/>
        <v>0</v>
      </c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33"/>
      <c r="BC108" s="33"/>
      <c r="BD108" s="33">
        <f t="shared" si="21"/>
        <v>0</v>
      </c>
      <c r="BE108" s="33">
        <v>6399600</v>
      </c>
      <c r="BF108" s="33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33"/>
      <c r="BR108" s="33"/>
      <c r="BS108" s="33">
        <f t="shared" si="22"/>
        <v>6399600</v>
      </c>
      <c r="BT108" s="29"/>
    </row>
    <row r="109" spans="1:72" ht="59.25" customHeight="1" x14ac:dyDescent="0.8">
      <c r="A109" s="12" t="s">
        <v>226</v>
      </c>
      <c r="B109" s="13" t="s">
        <v>227</v>
      </c>
      <c r="C109" s="29"/>
      <c r="D109" s="29"/>
      <c r="E109" s="29"/>
      <c r="F109" s="29"/>
      <c r="G109" s="29"/>
      <c r="H109" s="29"/>
      <c r="I109" s="29"/>
      <c r="J109" s="33"/>
      <c r="K109" s="29"/>
      <c r="L109" s="29"/>
      <c r="M109" s="29"/>
      <c r="N109" s="29"/>
      <c r="O109" s="29"/>
      <c r="P109" s="29"/>
      <c r="Q109" s="29"/>
      <c r="R109" s="33"/>
      <c r="S109" s="33">
        <f>T109+U109+V109+W109+X109+Y109+Z109</f>
        <v>0</v>
      </c>
      <c r="T109" s="29"/>
      <c r="U109" s="29"/>
      <c r="V109" s="29"/>
      <c r="W109" s="29"/>
      <c r="X109" s="29"/>
      <c r="Y109" s="29"/>
      <c r="Z109" s="29"/>
      <c r="AA109" s="33">
        <f t="shared" si="23"/>
        <v>0</v>
      </c>
      <c r="AB109" s="33"/>
      <c r="AC109" s="33"/>
      <c r="AD109" s="33">
        <f t="shared" si="24"/>
        <v>0</v>
      </c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33"/>
      <c r="BC109" s="33"/>
      <c r="BD109" s="33">
        <f>SUM(C109:BC109)-T109-U109-V109-W109-X109-Y109-Z109-AO109-K109-L109-M109-AE109-AF109-AG109-AB109-AC109</f>
        <v>0</v>
      </c>
      <c r="BE109" s="33"/>
      <c r="BF109" s="33">
        <v>250000</v>
      </c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33"/>
      <c r="BR109" s="33"/>
      <c r="BS109" s="33">
        <f>SUM(BE109:BR109)</f>
        <v>250000</v>
      </c>
      <c r="BT109" s="29"/>
    </row>
    <row r="110" spans="1:72" s="14" customFormat="1" ht="59.25" customHeight="1" x14ac:dyDescent="0.8">
      <c r="A110" s="12" t="s">
        <v>9</v>
      </c>
      <c r="B110" s="13" t="s">
        <v>10</v>
      </c>
      <c r="C110" s="30"/>
      <c r="D110" s="30">
        <v>79419500</v>
      </c>
      <c r="E110" s="30"/>
      <c r="F110" s="30"/>
      <c r="G110" s="30"/>
      <c r="H110" s="29"/>
      <c r="I110" s="29"/>
      <c r="J110" s="33">
        <f>K110</f>
        <v>0</v>
      </c>
      <c r="K110" s="29"/>
      <c r="L110" s="29"/>
      <c r="M110" s="29"/>
      <c r="N110" s="29"/>
      <c r="O110" s="29"/>
      <c r="P110" s="29"/>
      <c r="Q110" s="29">
        <v>56547900</v>
      </c>
      <c r="R110" s="33">
        <v>41542000</v>
      </c>
      <c r="S110" s="33">
        <f t="shared" si="19"/>
        <v>0</v>
      </c>
      <c r="T110" s="29"/>
      <c r="U110" s="29"/>
      <c r="V110" s="29"/>
      <c r="W110" s="29"/>
      <c r="X110" s="29"/>
      <c r="Y110" s="29"/>
      <c r="Z110" s="29"/>
      <c r="AA110" s="33">
        <f t="shared" si="23"/>
        <v>0</v>
      </c>
      <c r="AB110" s="33">
        <f>6801000-6801000</f>
        <v>0</v>
      </c>
      <c r="AC110" s="33"/>
      <c r="AD110" s="33">
        <v>2418370</v>
      </c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>
        <v>1000000</v>
      </c>
      <c r="AT110" s="29">
        <v>1000000</v>
      </c>
      <c r="AU110" s="29"/>
      <c r="AV110" s="29"/>
      <c r="AW110" s="29"/>
      <c r="AX110" s="29"/>
      <c r="AY110" s="29"/>
      <c r="AZ110" s="29">
        <v>7000000</v>
      </c>
      <c r="BA110" s="29">
        <f>13770000-3500000</f>
        <v>10270000</v>
      </c>
      <c r="BB110" s="33"/>
      <c r="BC110" s="33"/>
      <c r="BD110" s="33">
        <f>SUM(C110:BC110)-T110-U110-V110-W110-X110-Y110-Z110-AO110-K110-L110-M110-AE110-AF110-AG110-AB110-AC110</f>
        <v>199197770</v>
      </c>
      <c r="BE110" s="33"/>
      <c r="BF110" s="33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33"/>
      <c r="BR110" s="33"/>
      <c r="BS110" s="33">
        <f>SUM(BE110:BR110)</f>
        <v>0</v>
      </c>
      <c r="BT110" s="29"/>
    </row>
    <row r="111" spans="1:72" s="14" customFormat="1" ht="55.5" customHeight="1" x14ac:dyDescent="0.8">
      <c r="A111" s="12"/>
      <c r="B111" s="13" t="s">
        <v>11</v>
      </c>
      <c r="C111" s="30">
        <f>553836900-194542300</f>
        <v>359294600</v>
      </c>
      <c r="D111" s="30"/>
      <c r="E111" s="30"/>
      <c r="F111" s="30"/>
      <c r="G111" s="30"/>
      <c r="H111" s="29"/>
      <c r="I111" s="29"/>
      <c r="J111" s="33">
        <f>K111</f>
        <v>0</v>
      </c>
      <c r="K111" s="29"/>
      <c r="L111" s="29"/>
      <c r="M111" s="29"/>
      <c r="N111" s="29"/>
      <c r="O111" s="29"/>
      <c r="P111" s="29"/>
      <c r="Q111" s="29"/>
      <c r="R111" s="33"/>
      <c r="S111" s="33">
        <f t="shared" si="19"/>
        <v>0</v>
      </c>
      <c r="T111" s="29"/>
      <c r="U111" s="29"/>
      <c r="V111" s="29"/>
      <c r="W111" s="29"/>
      <c r="X111" s="29"/>
      <c r="Y111" s="29"/>
      <c r="Z111" s="29"/>
      <c r="AA111" s="33">
        <f t="shared" si="23"/>
        <v>0</v>
      </c>
      <c r="AB111" s="33"/>
      <c r="AC111" s="33"/>
      <c r="AD111" s="33">
        <f t="shared" si="24"/>
        <v>0</v>
      </c>
      <c r="AE111" s="29"/>
      <c r="AF111" s="29"/>
      <c r="AG111" s="29"/>
      <c r="AH111" s="29">
        <v>2729663.35</v>
      </c>
      <c r="AI111" s="29">
        <f>9000000+470000</f>
        <v>9470000</v>
      </c>
      <c r="AJ111" s="29">
        <v>2000000</v>
      </c>
      <c r="AK111" s="29">
        <v>2150000</v>
      </c>
      <c r="AL111" s="29">
        <f>20800000-2150000</f>
        <v>18650000</v>
      </c>
      <c r="AM111" s="29">
        <f>23877400+30289261</f>
        <v>54166661</v>
      </c>
      <c r="AN111" s="29">
        <f>9495000+20695491</f>
        <v>30190491</v>
      </c>
      <c r="AO111" s="29">
        <v>8717677</v>
      </c>
      <c r="AP111" s="29">
        <f>11000000-470000</f>
        <v>10530000</v>
      </c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33"/>
      <c r="BC111" s="33"/>
      <c r="BD111" s="33">
        <f>SUM(C111:BC111)-T111-U111-V111-W111-X111-Y111-Z111-AO111-K111-L111-M111-AE111-AF111-AG111-AB111-AC111</f>
        <v>489181415.35000002</v>
      </c>
      <c r="BE111" s="33"/>
      <c r="BF111" s="33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33"/>
      <c r="BR111" s="33"/>
      <c r="BS111" s="33">
        <f>SUM(BE111:BR111)</f>
        <v>0</v>
      </c>
      <c r="BT111" s="29"/>
    </row>
    <row r="112" spans="1:72" s="15" customFormat="1" ht="59.25" customHeight="1" x14ac:dyDescent="0.8">
      <c r="A112" s="12"/>
      <c r="B112" s="13" t="s">
        <v>164</v>
      </c>
      <c r="C112" s="30">
        <f>C26+C49+C110+C111+C107+C108</f>
        <v>359294600</v>
      </c>
      <c r="D112" s="30">
        <f>D26+D49+D110+D111+D107+D108</f>
        <v>189419500</v>
      </c>
      <c r="E112" s="30">
        <f t="shared" ref="E112:R112" si="28">E26+E49+E110+E111+E107+E108</f>
        <v>4252710900</v>
      </c>
      <c r="F112" s="30">
        <f t="shared" si="28"/>
        <v>5455127500</v>
      </c>
      <c r="G112" s="70">
        <f t="shared" si="28"/>
        <v>49732100</v>
      </c>
      <c r="H112" s="30">
        <f t="shared" si="28"/>
        <v>128297700</v>
      </c>
      <c r="I112" s="30">
        <f t="shared" si="28"/>
        <v>1114357</v>
      </c>
      <c r="J112" s="30">
        <f>J26+J49+J110+J111+J107+J108</f>
        <v>1602400</v>
      </c>
      <c r="K112" s="30">
        <f>K26+K49+K110+K111+K107+K108</f>
        <v>206300</v>
      </c>
      <c r="L112" s="30">
        <f>L26+L49+L110+L111+L107+L108</f>
        <v>1389000</v>
      </c>
      <c r="M112" s="30">
        <f>M26+M49+M110+M111+M107+M108</f>
        <v>7100</v>
      </c>
      <c r="N112" s="30">
        <f>N26+N49+N110+N111+N107+N108</f>
        <v>65173600</v>
      </c>
      <c r="O112" s="30">
        <f t="shared" si="28"/>
        <v>9827790.3900000006</v>
      </c>
      <c r="P112" s="30">
        <f t="shared" si="28"/>
        <v>83248400</v>
      </c>
      <c r="Q112" s="30">
        <f t="shared" si="28"/>
        <v>56547900</v>
      </c>
      <c r="R112" s="30">
        <f t="shared" si="28"/>
        <v>41542000</v>
      </c>
      <c r="S112" s="33">
        <f>T112+U112+V112+W112+X112+Y112+Z112</f>
        <v>100674327.13</v>
      </c>
      <c r="T112" s="30">
        <f t="shared" ref="T112:BC112" si="29">T26+T49+T110+T111+T107+T108</f>
        <v>46234541.379999995</v>
      </c>
      <c r="U112" s="30">
        <f t="shared" si="29"/>
        <v>32148300</v>
      </c>
      <c r="V112" s="30">
        <f t="shared" si="29"/>
        <v>13713900</v>
      </c>
      <c r="W112" s="30">
        <f>W26+W49+W110+W111+W107+W108</f>
        <v>1600000</v>
      </c>
      <c r="X112" s="30">
        <f t="shared" si="29"/>
        <v>4280000</v>
      </c>
      <c r="Y112" s="30">
        <f t="shared" si="29"/>
        <v>1473000</v>
      </c>
      <c r="Z112" s="30">
        <f t="shared" si="29"/>
        <v>1224585.75</v>
      </c>
      <c r="AA112" s="33">
        <f t="shared" ref="AA112:AG112" si="30">AA111+AA110+AA109+AA108+AA107+AA49+AA26</f>
        <v>50880700</v>
      </c>
      <c r="AB112" s="34">
        <f t="shared" si="30"/>
        <v>44079700</v>
      </c>
      <c r="AC112" s="34">
        <f t="shared" si="30"/>
        <v>6801000</v>
      </c>
      <c r="AD112" s="33">
        <f t="shared" si="30"/>
        <v>73054125</v>
      </c>
      <c r="AE112" s="30">
        <f t="shared" si="30"/>
        <v>28104834</v>
      </c>
      <c r="AF112" s="30">
        <f t="shared" si="30"/>
        <v>28474915</v>
      </c>
      <c r="AG112" s="30">
        <f t="shared" si="30"/>
        <v>14056006</v>
      </c>
      <c r="AH112" s="30">
        <f t="shared" si="29"/>
        <v>2729663.35</v>
      </c>
      <c r="AI112" s="30">
        <f t="shared" si="29"/>
        <v>9470000</v>
      </c>
      <c r="AJ112" s="30">
        <f>AJ26+AJ49+AJ110+AJ111+AJ107+AJ108</f>
        <v>2000000</v>
      </c>
      <c r="AK112" s="30">
        <f>AK26+AK49+AK110+AK111+AK107+AK108</f>
        <v>2150000</v>
      </c>
      <c r="AL112" s="30">
        <f t="shared" si="29"/>
        <v>18650000</v>
      </c>
      <c r="AM112" s="30">
        <f>AM26+AM49+AM110+AM111+AM107+AM108</f>
        <v>54166661</v>
      </c>
      <c r="AN112" s="30">
        <f>AN26+AN49+AN110+AN111+AN107+AN108</f>
        <v>30190491</v>
      </c>
      <c r="AO112" s="30">
        <f>AO26+AO49+AO110+AO111+AO107+AO108</f>
        <v>8717677</v>
      </c>
      <c r="AP112" s="30">
        <f t="shared" si="29"/>
        <v>10530000</v>
      </c>
      <c r="AQ112" s="30">
        <f t="shared" si="29"/>
        <v>300000</v>
      </c>
      <c r="AR112" s="30">
        <f>AR26+AR49+AR110+AR111+AR107+AR108</f>
        <v>60000000</v>
      </c>
      <c r="AS112" s="30">
        <f t="shared" si="29"/>
        <v>1000000</v>
      </c>
      <c r="AT112" s="30">
        <f t="shared" si="29"/>
        <v>1000000</v>
      </c>
      <c r="AU112" s="30">
        <f t="shared" si="29"/>
        <v>6000000</v>
      </c>
      <c r="AV112" s="30">
        <f t="shared" si="29"/>
        <v>9000000</v>
      </c>
      <c r="AW112" s="30">
        <f t="shared" si="29"/>
        <v>17600000</v>
      </c>
      <c r="AX112" s="30">
        <f t="shared" si="29"/>
        <v>130000</v>
      </c>
      <c r="AY112" s="30">
        <f t="shared" si="29"/>
        <v>2000000</v>
      </c>
      <c r="AZ112" s="30">
        <f t="shared" si="29"/>
        <v>7000000</v>
      </c>
      <c r="BA112" s="30">
        <f>BA26+BA49+BA110+BA111+BA107+BA108</f>
        <v>13770000</v>
      </c>
      <c r="BB112" s="30">
        <f t="shared" si="29"/>
        <v>18000000</v>
      </c>
      <c r="BC112" s="30">
        <f t="shared" si="29"/>
        <v>100000</v>
      </c>
      <c r="BD112" s="33">
        <f>SUM(C112:BC112)-T112-U112-V112-W112-X112-Y112-Z112-AO112-K112-L112-M112-AE112-AF112-AG112-AB112-AC112</f>
        <v>11184034714.869999</v>
      </c>
      <c r="BE112" s="30">
        <f>BE26+BE49+BE110+BE111+BE107+BE108</f>
        <v>6399600</v>
      </c>
      <c r="BF112" s="30">
        <f>BF26+BF49+BF110+BF111+BF107+BF108+BF109</f>
        <v>397200</v>
      </c>
      <c r="BG112" s="30">
        <f t="shared" ref="BG112:BQ112" si="31">BG26+BG49+BG110+BG111+BG107+BG108</f>
        <v>1400000</v>
      </c>
      <c r="BH112" s="70">
        <f>BH26+BH49+BH110+BH111+BH107+BH108</f>
        <v>18227000</v>
      </c>
      <c r="BI112" s="70">
        <f t="shared" si="31"/>
        <v>61400000</v>
      </c>
      <c r="BJ112" s="30">
        <f t="shared" si="31"/>
        <v>73086</v>
      </c>
      <c r="BK112" s="70">
        <f>BK26+BK49+BK110+BK111+BK107+BK108</f>
        <v>1120845</v>
      </c>
      <c r="BL112" s="30">
        <f t="shared" si="31"/>
        <v>2150000</v>
      </c>
      <c r="BM112" s="30">
        <f>BM26+BM49+BM110+BM111+BM107+BM108</f>
        <v>150000</v>
      </c>
      <c r="BN112" s="30">
        <f>BN26+BN49+BN110+BN111+BN107+BN108</f>
        <v>4000000</v>
      </c>
      <c r="BO112" s="30">
        <f>BO26+BO49+BO110+BO111+BO107+BO108</f>
        <v>896600</v>
      </c>
      <c r="BP112" s="30">
        <f t="shared" si="31"/>
        <v>1129500</v>
      </c>
      <c r="BQ112" s="30">
        <f t="shared" si="31"/>
        <v>14500000</v>
      </c>
      <c r="BR112" s="30">
        <f>BR26+BR49+BR110+BR111+BR107+BR108</f>
        <v>106351</v>
      </c>
      <c r="BS112" s="33">
        <f>SUM(BE112:BR112)</f>
        <v>111950182</v>
      </c>
      <c r="BT112" s="30">
        <f>BT26+BT49+BT110+BT111+BT107</f>
        <v>0</v>
      </c>
    </row>
    <row r="113" spans="1:72" s="20" customFormat="1" ht="69.75" customHeight="1" x14ac:dyDescent="1.05">
      <c r="A113" s="16"/>
      <c r="B113" s="64"/>
      <c r="C113" s="17"/>
      <c r="D113" s="17"/>
      <c r="E113" s="19"/>
      <c r="F113" s="19"/>
      <c r="G113" s="19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L113" s="89"/>
      <c r="BM113" s="89"/>
      <c r="BN113" s="89"/>
      <c r="BO113" s="89"/>
    </row>
    <row r="114" spans="1:72" s="23" customFormat="1" ht="78" customHeight="1" x14ac:dyDescent="1.05">
      <c r="A114" s="21"/>
      <c r="B114" s="65"/>
      <c r="C114" s="21"/>
      <c r="D114" s="21"/>
      <c r="E114" s="22"/>
      <c r="F114" s="22"/>
      <c r="G114" s="22"/>
      <c r="AJ114" s="28"/>
      <c r="AK114" s="28"/>
      <c r="AN114" s="28"/>
      <c r="AO114" s="28"/>
      <c r="AR114" s="28"/>
      <c r="AS114" s="28"/>
      <c r="AY114" s="28"/>
      <c r="AZ114" s="28"/>
      <c r="BG114" s="28"/>
      <c r="BH114" s="28"/>
      <c r="BI114" s="28"/>
      <c r="BJ114" s="28"/>
      <c r="BL114" s="89" t="s">
        <v>310</v>
      </c>
      <c r="BM114" s="89"/>
      <c r="BN114" s="89"/>
      <c r="BO114" s="89"/>
      <c r="BP114" s="84" t="s">
        <v>284</v>
      </c>
      <c r="BQ114" s="84"/>
      <c r="BR114" s="84"/>
      <c r="BS114" s="84"/>
      <c r="BT114" s="28"/>
    </row>
    <row r="115" spans="1:72" ht="25.5" x14ac:dyDescent="0.35">
      <c r="A115" s="24"/>
      <c r="B115" s="24"/>
      <c r="C115" s="24"/>
      <c r="D115" s="24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BD115" s="26"/>
      <c r="BE115" s="26"/>
      <c r="BF115" s="26"/>
    </row>
    <row r="116" spans="1:72" ht="25.5" x14ac:dyDescent="0.35">
      <c r="A116" s="24"/>
      <c r="B116" s="24"/>
      <c r="C116" s="24"/>
      <c r="D116" s="24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BD116" s="26"/>
      <c r="BE116" s="26"/>
      <c r="BF116" s="26"/>
    </row>
    <row r="117" spans="1:72" ht="25.5" x14ac:dyDescent="0.35">
      <c r="A117" s="24"/>
      <c r="B117" s="24"/>
      <c r="C117" s="24"/>
      <c r="D117" s="24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BD117" s="26"/>
      <c r="BE117" s="26"/>
      <c r="BF117" s="26"/>
    </row>
    <row r="118" spans="1:72" s="26" customFormat="1" ht="59.25" x14ac:dyDescent="0.35">
      <c r="A118" s="36"/>
      <c r="B118" s="36"/>
      <c r="C118" s="36"/>
      <c r="D118" s="36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BD118" s="38"/>
      <c r="BE118" s="38"/>
      <c r="BF118" s="38"/>
    </row>
    <row r="119" spans="1:72" s="26" customFormat="1" ht="25.5" x14ac:dyDescent="0.35">
      <c r="A119" s="36"/>
      <c r="B119" s="36"/>
      <c r="C119" s="36"/>
      <c r="D119" s="36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</row>
    <row r="120" spans="1:72" s="26" customFormat="1" ht="59.25" x14ac:dyDescent="0.35">
      <c r="A120" s="36"/>
      <c r="B120" s="36"/>
      <c r="C120" s="36"/>
      <c r="D120" s="36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BD120" s="38"/>
      <c r="BS120" s="33"/>
    </row>
    <row r="121" spans="1:72" s="26" customFormat="1" ht="59.25" x14ac:dyDescent="0.35">
      <c r="A121" s="36"/>
      <c r="B121" s="36"/>
      <c r="C121" s="36"/>
      <c r="D121" s="36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BS121" s="33"/>
    </row>
    <row r="122" spans="1:72" s="26" customFormat="1" ht="59.25" x14ac:dyDescent="0.35">
      <c r="A122" s="36"/>
      <c r="B122" s="36"/>
      <c r="C122" s="36"/>
      <c r="D122" s="36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BS122" s="33"/>
    </row>
    <row r="123" spans="1:72" s="26" customFormat="1" ht="59.25" x14ac:dyDescent="0.35">
      <c r="A123" s="36"/>
      <c r="B123" s="36"/>
      <c r="C123" s="36"/>
      <c r="D123" s="36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BS123" s="33"/>
    </row>
    <row r="124" spans="1:72" s="26" customFormat="1" ht="59.25" x14ac:dyDescent="0.35">
      <c r="A124" s="36"/>
      <c r="B124" s="36"/>
      <c r="C124" s="36"/>
      <c r="D124" s="36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BS124" s="33"/>
    </row>
    <row r="125" spans="1:72" s="26" customFormat="1" ht="25.5" x14ac:dyDescent="0.35">
      <c r="A125" s="36"/>
      <c r="B125" s="36"/>
      <c r="C125" s="36"/>
      <c r="D125" s="36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</row>
    <row r="126" spans="1:72" s="26" customFormat="1" ht="25.5" x14ac:dyDescent="0.35">
      <c r="A126" s="36"/>
      <c r="B126" s="36"/>
      <c r="C126" s="36"/>
      <c r="D126" s="36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</row>
    <row r="127" spans="1:72" ht="25.5" x14ac:dyDescent="0.35">
      <c r="A127" s="24"/>
      <c r="B127" s="24"/>
      <c r="C127" s="24"/>
      <c r="D127" s="24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</row>
    <row r="128" spans="1:72" ht="25.5" x14ac:dyDescent="0.35">
      <c r="A128" s="24"/>
      <c r="B128" s="24"/>
      <c r="C128" s="24"/>
      <c r="D128" s="24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</row>
    <row r="129" spans="1:42" ht="25.5" x14ac:dyDescent="0.35">
      <c r="A129" s="24"/>
      <c r="B129" s="24"/>
      <c r="C129" s="24"/>
      <c r="D129" s="24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</row>
    <row r="130" spans="1:42" ht="25.5" x14ac:dyDescent="0.35">
      <c r="A130" s="24"/>
      <c r="B130" s="24"/>
      <c r="C130" s="24"/>
      <c r="D130" s="24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</row>
    <row r="131" spans="1:42" ht="25.5" x14ac:dyDescent="0.35">
      <c r="A131" s="24"/>
      <c r="B131" s="24"/>
      <c r="C131" s="24"/>
      <c r="D131" s="24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</row>
    <row r="132" spans="1:42" x14ac:dyDescent="0.2"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</row>
    <row r="133" spans="1:42" x14ac:dyDescent="0.2"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</row>
    <row r="134" spans="1:42" x14ac:dyDescent="0.2"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</row>
    <row r="135" spans="1:42" x14ac:dyDescent="0.2"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</row>
    <row r="136" spans="1:42" x14ac:dyDescent="0.2"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</row>
    <row r="137" spans="1:42" x14ac:dyDescent="0.2"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</row>
    <row r="138" spans="1:42" x14ac:dyDescent="0.2"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</row>
    <row r="139" spans="1:42" x14ac:dyDescent="0.2"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</row>
    <row r="140" spans="1:42" x14ac:dyDescent="0.2"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</row>
    <row r="141" spans="1:42" x14ac:dyDescent="0.2"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</row>
    <row r="142" spans="1:42" x14ac:dyDescent="0.2"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</row>
    <row r="143" spans="1:42" x14ac:dyDescent="0.2"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</row>
    <row r="144" spans="1:42" x14ac:dyDescent="0.2"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</row>
    <row r="145" spans="8:42" x14ac:dyDescent="0.2"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</row>
    <row r="146" spans="8:42" x14ac:dyDescent="0.2"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</row>
    <row r="147" spans="8:42" x14ac:dyDescent="0.2"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</row>
    <row r="148" spans="8:42" x14ac:dyDescent="0.2"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</row>
    <row r="149" spans="8:42" x14ac:dyDescent="0.2"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</row>
    <row r="150" spans="8:42" x14ac:dyDescent="0.2"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</row>
    <row r="151" spans="8:42" x14ac:dyDescent="0.2"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</row>
    <row r="152" spans="8:42" x14ac:dyDescent="0.2"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</row>
    <row r="153" spans="8:42" x14ac:dyDescent="0.2"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</row>
    <row r="154" spans="8:42" x14ac:dyDescent="0.2"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</row>
    <row r="155" spans="8:42" x14ac:dyDescent="0.2"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</row>
    <row r="156" spans="8:42" x14ac:dyDescent="0.2"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</row>
    <row r="157" spans="8:42" x14ac:dyDescent="0.2"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</row>
    <row r="158" spans="8:42" x14ac:dyDescent="0.2"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</row>
    <row r="159" spans="8:42" x14ac:dyDescent="0.2"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</row>
    <row r="160" spans="8:42" x14ac:dyDescent="0.2"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</row>
    <row r="161" spans="8:42" x14ac:dyDescent="0.2"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</row>
    <row r="162" spans="8:42" x14ac:dyDescent="0.2"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</row>
    <row r="163" spans="8:42" x14ac:dyDescent="0.2"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</row>
    <row r="164" spans="8:42" x14ac:dyDescent="0.2"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</row>
    <row r="165" spans="8:42" x14ac:dyDescent="0.2"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</row>
    <row r="166" spans="8:42" x14ac:dyDescent="0.2"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</row>
    <row r="167" spans="8:42" x14ac:dyDescent="0.2"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</row>
    <row r="168" spans="8:42" x14ac:dyDescent="0.2"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</row>
    <row r="169" spans="8:42" x14ac:dyDescent="0.2"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</row>
    <row r="170" spans="8:42" x14ac:dyDescent="0.2"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</row>
    <row r="171" spans="8:42" x14ac:dyDescent="0.2"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</row>
    <row r="172" spans="8:42" x14ac:dyDescent="0.2"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</row>
    <row r="173" spans="8:42" x14ac:dyDescent="0.2"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</row>
    <row r="174" spans="8:42" x14ac:dyDescent="0.2"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</row>
    <row r="175" spans="8:42" x14ac:dyDescent="0.2"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</row>
    <row r="176" spans="8:42" x14ac:dyDescent="0.2"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</row>
    <row r="177" spans="8:42" x14ac:dyDescent="0.2"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</row>
    <row r="178" spans="8:42" x14ac:dyDescent="0.2"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</row>
    <row r="179" spans="8:42" x14ac:dyDescent="0.2"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</row>
    <row r="180" spans="8:42" x14ac:dyDescent="0.2"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</row>
    <row r="181" spans="8:42" x14ac:dyDescent="0.2"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</row>
    <row r="182" spans="8:42" x14ac:dyDescent="0.2"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</row>
    <row r="183" spans="8:42" x14ac:dyDescent="0.2"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</row>
    <row r="184" spans="8:42" x14ac:dyDescent="0.2"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</row>
    <row r="185" spans="8:42" x14ac:dyDescent="0.2"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</row>
    <row r="186" spans="8:42" x14ac:dyDescent="0.2"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</row>
    <row r="187" spans="8:42" x14ac:dyDescent="0.2"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</row>
    <row r="188" spans="8:42" x14ac:dyDescent="0.2"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</row>
    <row r="189" spans="8:42" x14ac:dyDescent="0.2"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</row>
    <row r="190" spans="8:42" x14ac:dyDescent="0.2"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</row>
    <row r="191" spans="8:42" x14ac:dyDescent="0.2"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</row>
    <row r="192" spans="8:42" x14ac:dyDescent="0.2"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</row>
    <row r="193" spans="8:42" x14ac:dyDescent="0.2"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</row>
    <row r="194" spans="8:42" x14ac:dyDescent="0.2"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</row>
    <row r="195" spans="8:42" x14ac:dyDescent="0.2"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</row>
    <row r="196" spans="8:42" x14ac:dyDescent="0.2"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</row>
    <row r="197" spans="8:42" x14ac:dyDescent="0.2"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</row>
    <row r="198" spans="8:42" x14ac:dyDescent="0.2"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</row>
    <row r="199" spans="8:42" x14ac:dyDescent="0.2"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</row>
    <row r="200" spans="8:42" x14ac:dyDescent="0.2"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</row>
    <row r="201" spans="8:42" x14ac:dyDescent="0.2"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</row>
    <row r="202" spans="8:42" x14ac:dyDescent="0.2"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</row>
    <row r="203" spans="8:42" x14ac:dyDescent="0.2"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</row>
    <row r="204" spans="8:42" x14ac:dyDescent="0.2"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</row>
    <row r="205" spans="8:42" x14ac:dyDescent="0.2"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</row>
    <row r="206" spans="8:42" x14ac:dyDescent="0.2"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</row>
    <row r="207" spans="8:42" x14ac:dyDescent="0.2"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</row>
    <row r="208" spans="8:42" x14ac:dyDescent="0.2"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</row>
    <row r="209" spans="8:42" x14ac:dyDescent="0.2"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</row>
    <row r="210" spans="8:42" x14ac:dyDescent="0.2"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</row>
    <row r="211" spans="8:42" x14ac:dyDescent="0.2"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</row>
    <row r="212" spans="8:42" x14ac:dyDescent="0.2"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</row>
    <row r="213" spans="8:42" x14ac:dyDescent="0.2"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</row>
    <row r="214" spans="8:42" x14ac:dyDescent="0.2"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</row>
    <row r="215" spans="8:42" x14ac:dyDescent="0.2"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</row>
    <row r="216" spans="8:42" x14ac:dyDescent="0.2"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</row>
    <row r="217" spans="8:42" x14ac:dyDescent="0.2"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</row>
    <row r="218" spans="8:42" x14ac:dyDescent="0.2"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</row>
    <row r="219" spans="8:42" x14ac:dyDescent="0.2"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</row>
    <row r="220" spans="8:42" x14ac:dyDescent="0.2"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</row>
    <row r="221" spans="8:42" x14ac:dyDescent="0.2"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</row>
    <row r="222" spans="8:42" x14ac:dyDescent="0.2"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</row>
    <row r="223" spans="8:42" x14ac:dyDescent="0.2"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</row>
    <row r="224" spans="8:42" x14ac:dyDescent="0.2"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</row>
    <row r="225" spans="8:42" x14ac:dyDescent="0.2"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</row>
    <row r="226" spans="8:42" x14ac:dyDescent="0.2"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</row>
    <row r="227" spans="8:42" x14ac:dyDescent="0.2"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</row>
    <row r="228" spans="8:42" x14ac:dyDescent="0.2"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</row>
    <row r="229" spans="8:42" x14ac:dyDescent="0.2"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</row>
    <row r="230" spans="8:42" x14ac:dyDescent="0.2"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</row>
    <row r="231" spans="8:42" x14ac:dyDescent="0.2"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</row>
    <row r="232" spans="8:42" x14ac:dyDescent="0.2"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</row>
    <row r="233" spans="8:42" x14ac:dyDescent="0.2"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</row>
    <row r="234" spans="8:42" x14ac:dyDescent="0.2"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</row>
    <row r="235" spans="8:42" x14ac:dyDescent="0.2"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</row>
    <row r="236" spans="8:42" x14ac:dyDescent="0.2"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</row>
    <row r="237" spans="8:42" x14ac:dyDescent="0.2"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</row>
    <row r="238" spans="8:42" x14ac:dyDescent="0.2"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</row>
    <row r="239" spans="8:42" x14ac:dyDescent="0.2"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</row>
    <row r="240" spans="8:42" x14ac:dyDescent="0.2"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</row>
    <row r="241" spans="8:42" x14ac:dyDescent="0.2"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</row>
    <row r="242" spans="8:42" x14ac:dyDescent="0.2"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</row>
    <row r="243" spans="8:42" x14ac:dyDescent="0.2"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</row>
    <row r="244" spans="8:42" x14ac:dyDescent="0.2"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</row>
    <row r="245" spans="8:42" x14ac:dyDescent="0.2"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</row>
    <row r="246" spans="8:42" x14ac:dyDescent="0.2"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</row>
    <row r="247" spans="8:42" x14ac:dyDescent="0.2"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</row>
    <row r="248" spans="8:42" x14ac:dyDescent="0.2"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</row>
    <row r="249" spans="8:42" x14ac:dyDescent="0.2"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</row>
    <row r="250" spans="8:42" x14ac:dyDescent="0.2"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</row>
    <row r="251" spans="8:42" x14ac:dyDescent="0.2"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</row>
    <row r="252" spans="8:42" x14ac:dyDescent="0.2"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</row>
    <row r="253" spans="8:42" x14ac:dyDescent="0.2"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</row>
    <row r="254" spans="8:42" x14ac:dyDescent="0.2"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</row>
    <row r="255" spans="8:42" x14ac:dyDescent="0.2"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</row>
    <row r="256" spans="8:42" x14ac:dyDescent="0.2"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</row>
    <row r="257" spans="8:42" x14ac:dyDescent="0.2"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</row>
    <row r="258" spans="8:42" x14ac:dyDescent="0.2"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</row>
    <row r="259" spans="8:42" x14ac:dyDescent="0.2"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</row>
    <row r="260" spans="8:42" x14ac:dyDescent="0.2"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</row>
    <row r="261" spans="8:42" x14ac:dyDescent="0.2"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</row>
    <row r="262" spans="8:42" x14ac:dyDescent="0.2"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</row>
    <row r="263" spans="8:42" x14ac:dyDescent="0.2"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</row>
    <row r="264" spans="8:42" x14ac:dyDescent="0.2"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</row>
    <row r="265" spans="8:42" x14ac:dyDescent="0.2"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</row>
    <row r="266" spans="8:42" x14ac:dyDescent="0.2"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</row>
  </sheetData>
  <sheetProtection selectLockedCells="1" selectUnlockedCells="1"/>
  <mergeCells count="126">
    <mergeCell ref="AQ7:AX7"/>
    <mergeCell ref="AM9:AO9"/>
    <mergeCell ref="BE6:BK6"/>
    <mergeCell ref="AQ6:AX6"/>
    <mergeCell ref="AR8:AX8"/>
    <mergeCell ref="AH8:AP8"/>
    <mergeCell ref="AY6:BC6"/>
    <mergeCell ref="AH6:AP6"/>
    <mergeCell ref="AL7:AP7"/>
    <mergeCell ref="BG9:BH9"/>
    <mergeCell ref="AK10:AL12"/>
    <mergeCell ref="AV10:AV12"/>
    <mergeCell ref="AT10:AT12"/>
    <mergeCell ref="BF10:BF12"/>
    <mergeCell ref="AY10:AY12"/>
    <mergeCell ref="BD6:BD12"/>
    <mergeCell ref="AZ7:BC7"/>
    <mergeCell ref="AU9:AW9"/>
    <mergeCell ref="AZ9:BA9"/>
    <mergeCell ref="AR9:AT9"/>
    <mergeCell ref="BP10:BP12"/>
    <mergeCell ref="AA6:AG6"/>
    <mergeCell ref="AA7:AG7"/>
    <mergeCell ref="AA8:AG8"/>
    <mergeCell ref="AA9:AC9"/>
    <mergeCell ref="AD9:AG9"/>
    <mergeCell ref="AP10:AP12"/>
    <mergeCell ref="AO11:AO12"/>
    <mergeCell ref="AI10:AI12"/>
    <mergeCell ref="AM10:AM12"/>
    <mergeCell ref="W11:W12"/>
    <mergeCell ref="C4:G4"/>
    <mergeCell ref="BK10:BK12"/>
    <mergeCell ref="BI10:BI12"/>
    <mergeCell ref="BL10:BL12"/>
    <mergeCell ref="BB10:BC12"/>
    <mergeCell ref="BL7:BN7"/>
    <mergeCell ref="J9:M9"/>
    <mergeCell ref="BL8:BR8"/>
    <mergeCell ref="BJ9:BK9"/>
    <mergeCell ref="AQ10:AQ12"/>
    <mergeCell ref="AR10:AR12"/>
    <mergeCell ref="F1:G1"/>
    <mergeCell ref="F2:G2"/>
    <mergeCell ref="R10:R12"/>
    <mergeCell ref="Q10:Q12"/>
    <mergeCell ref="P10:P12"/>
    <mergeCell ref="N8:R8"/>
    <mergeCell ref="H7:M7"/>
    <mergeCell ref="O10:O12"/>
    <mergeCell ref="T11:T12"/>
    <mergeCell ref="AB10:AC10"/>
    <mergeCell ref="AB11:AB12"/>
    <mergeCell ref="AC11:AC12"/>
    <mergeCell ref="BL113:BO113"/>
    <mergeCell ref="BM10:BM12"/>
    <mergeCell ref="AE11:AE12"/>
    <mergeCell ref="AS10:AS12"/>
    <mergeCell ref="AW10:AW12"/>
    <mergeCell ref="AU10:AU12"/>
    <mergeCell ref="K10:M10"/>
    <mergeCell ref="L11:L12"/>
    <mergeCell ref="M11:M12"/>
    <mergeCell ref="H10:H12"/>
    <mergeCell ref="I10:I12"/>
    <mergeCell ref="J10:J12"/>
    <mergeCell ref="K11:K12"/>
    <mergeCell ref="AD10:AD12"/>
    <mergeCell ref="AE10:AG10"/>
    <mergeCell ref="AF11:AF12"/>
    <mergeCell ref="AG11:AG12"/>
    <mergeCell ref="S10:S12"/>
    <mergeCell ref="Z11:Z12"/>
    <mergeCell ref="Y11:Y12"/>
    <mergeCell ref="AA10:AA12"/>
    <mergeCell ref="U11:U12"/>
    <mergeCell ref="T10:Z10"/>
    <mergeCell ref="A6:A12"/>
    <mergeCell ref="B6:B12"/>
    <mergeCell ref="E10:E12"/>
    <mergeCell ref="C10:C12"/>
    <mergeCell ref="C7:G7"/>
    <mergeCell ref="G10:G12"/>
    <mergeCell ref="D6:G6"/>
    <mergeCell ref="D10:D12"/>
    <mergeCell ref="F10:F12"/>
    <mergeCell ref="S8:Z8"/>
    <mergeCell ref="AH7:AK7"/>
    <mergeCell ref="X11:X12"/>
    <mergeCell ref="AJ10:AJ12"/>
    <mergeCell ref="H6:M6"/>
    <mergeCell ref="I8:M8"/>
    <mergeCell ref="S9:Z9"/>
    <mergeCell ref="N10:N12"/>
    <mergeCell ref="AH10:AH12"/>
    <mergeCell ref="V11:V12"/>
    <mergeCell ref="BP114:BS114"/>
    <mergeCell ref="BS6:BS12"/>
    <mergeCell ref="BJ7:BK7"/>
    <mergeCell ref="BL9:BQ9"/>
    <mergeCell ref="BQ10:BQ12"/>
    <mergeCell ref="BN10:BN12"/>
    <mergeCell ref="BL114:BO114"/>
    <mergeCell ref="BL6:BR6"/>
    <mergeCell ref="BR10:BR12"/>
    <mergeCell ref="BO7:BR7"/>
    <mergeCell ref="BO10:BO12"/>
    <mergeCell ref="AY8:BC8"/>
    <mergeCell ref="BE7:BG7"/>
    <mergeCell ref="AZ10:AZ12"/>
    <mergeCell ref="BJ10:BJ12"/>
    <mergeCell ref="BG10:BH12"/>
    <mergeCell ref="BE10:BE12"/>
    <mergeCell ref="BJ8:BK8"/>
    <mergeCell ref="BE8:BI8"/>
    <mergeCell ref="BH7:BI7"/>
    <mergeCell ref="AX10:AX12"/>
    <mergeCell ref="BA10:BA12"/>
    <mergeCell ref="C3:G3"/>
    <mergeCell ref="N6:R6"/>
    <mergeCell ref="N7:Q7"/>
    <mergeCell ref="AK9:AL9"/>
    <mergeCell ref="U7:Z7"/>
    <mergeCell ref="S6:Z6"/>
    <mergeCell ref="AN10:AN12"/>
    <mergeCell ref="E8:G8"/>
  </mergeCells>
  <phoneticPr fontId="0" type="noConversion"/>
  <printOptions horizontalCentered="1"/>
  <pageMargins left="0.6692913385826772" right="0.35433070866141736" top="0.59055118110236227" bottom="0.84" header="0" footer="0"/>
  <pageSetup paperSize="9" scale="10" firstPageNumber="0" fitToWidth="0" fitToHeight="0" orientation="portrait" horizontalDpi="300" verticalDpi="300" r:id="rId1"/>
  <headerFooter differentFirst="1" alignWithMargins="0">
    <oddHeader>&amp;C&amp;"Times New Roman,обычный"&amp;54&amp;P</oddHeader>
  </headerFooter>
  <colBreaks count="9" manualBreakCount="9">
    <brk id="7" max="113" man="1"/>
    <brk id="13" max="1048575" man="1"/>
    <brk id="18" max="113" man="1"/>
    <brk id="26" max="1048575" man="1"/>
    <brk id="33" max="113" man="1"/>
    <brk id="42" max="1048575" man="1"/>
    <brk id="50" max="1048575" man="1"/>
    <brk id="56" max="113" man="1"/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</vt:lpstr>
      <vt:lpstr>'Дод 4'!Заголовки_для_печати</vt:lpstr>
      <vt:lpstr>'Дод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2018-05-23T08:31:08Z</cp:lastPrinted>
  <dcterms:created xsi:type="dcterms:W3CDTF">2015-09-22T09:14:37Z</dcterms:created>
  <dcterms:modified xsi:type="dcterms:W3CDTF">2018-05-23T12:57:27Z</dcterms:modified>
</cp:coreProperties>
</file>