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Дод 4" sheetId="5" r:id="rId1"/>
  </sheets>
  <definedNames>
    <definedName name="_xlnm.Print_Titles" localSheetId="0">'Дод 4'!$A:$B,'Дод 4'!$6:$12</definedName>
    <definedName name="_xlnm.Print_Area" localSheetId="0">'Дод 4'!$A$1:$CH$114</definedName>
  </definedNames>
  <calcPr calcId="144525" fullCalcOnLoad="1"/>
</workbook>
</file>

<file path=xl/calcChain.xml><?xml version="1.0" encoding="utf-8"?>
<calcChain xmlns="http://schemas.openxmlformats.org/spreadsheetml/2006/main">
  <c r="V110" i="5" l="1"/>
  <c r="CB14" i="5"/>
  <c r="Q39" i="5"/>
  <c r="BR52" i="5"/>
  <c r="BR21" i="5"/>
  <c r="BQ38" i="5"/>
  <c r="BT24" i="5"/>
  <c r="G34" i="5"/>
  <c r="G33" i="5"/>
  <c r="G32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1" i="5"/>
  <c r="G30" i="5"/>
  <c r="G29" i="5"/>
  <c r="G28" i="5"/>
  <c r="G27" i="5"/>
  <c r="G25" i="5"/>
  <c r="G24" i="5"/>
  <c r="G22" i="5"/>
  <c r="G21" i="5"/>
  <c r="G20" i="5"/>
  <c r="G19" i="5"/>
  <c r="G18" i="5"/>
  <c r="G17" i="5"/>
  <c r="G16" i="5"/>
  <c r="G15" i="5"/>
  <c r="G14" i="5"/>
  <c r="G13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D87" i="5"/>
  <c r="K87" i="5"/>
  <c r="P87" i="5"/>
  <c r="Q87" i="5"/>
  <c r="X87" i="5"/>
  <c r="W87" i="5"/>
  <c r="AE87" i="5"/>
  <c r="AH87" i="5"/>
  <c r="AX87" i="5"/>
  <c r="BH87" i="5"/>
  <c r="BM87" i="5"/>
  <c r="S107" i="5"/>
  <c r="T107" i="5"/>
  <c r="U107" i="5"/>
  <c r="U14" i="5"/>
  <c r="U17" i="5"/>
  <c r="U21" i="5"/>
  <c r="U26" i="5"/>
  <c r="U29" i="5"/>
  <c r="U49" i="5"/>
  <c r="U110" i="5"/>
  <c r="CA26" i="5"/>
  <c r="CA112" i="5" s="1"/>
  <c r="CA49" i="5"/>
  <c r="CA107" i="5"/>
  <c r="BZ107" i="5"/>
  <c r="BZ49" i="5"/>
  <c r="BS49" i="5"/>
  <c r="BS26" i="5"/>
  <c r="BS56" i="5"/>
  <c r="BS107" i="5" s="1"/>
  <c r="BT65" i="5"/>
  <c r="BT33" i="5"/>
  <c r="BC18" i="5"/>
  <c r="BC26" i="5" s="1"/>
  <c r="BC14" i="5"/>
  <c r="BC22" i="5"/>
  <c r="AN111" i="5"/>
  <c r="AW111" i="5"/>
  <c r="CH101" i="5"/>
  <c r="BO107" i="5"/>
  <c r="BO49" i="5"/>
  <c r="BO26" i="5"/>
  <c r="S26" i="5"/>
  <c r="S49" i="5"/>
  <c r="S112" i="5"/>
  <c r="R42" i="5"/>
  <c r="R31" i="5"/>
  <c r="R49" i="5" s="1"/>
  <c r="R17" i="5"/>
  <c r="R16" i="5"/>
  <c r="R14" i="5"/>
  <c r="R26" i="5" s="1"/>
  <c r="R107" i="5"/>
  <c r="Q71" i="5"/>
  <c r="Q56" i="5"/>
  <c r="Q47" i="5"/>
  <c r="Q38" i="5"/>
  <c r="Q32" i="5"/>
  <c r="Q29" i="5"/>
  <c r="Q24" i="5"/>
  <c r="Q15" i="5"/>
  <c r="Q22" i="5"/>
  <c r="Q23" i="5"/>
  <c r="Q26" i="5"/>
  <c r="CH13" i="5"/>
  <c r="BZ26" i="5"/>
  <c r="BZ112" i="5" s="1"/>
  <c r="Q76" i="5"/>
  <c r="Q63" i="5"/>
  <c r="Q45" i="5"/>
  <c r="Q43" i="5"/>
  <c r="E49" i="5"/>
  <c r="K17" i="5"/>
  <c r="Z17" i="5"/>
  <c r="W17" i="5" s="1"/>
  <c r="AB17" i="5"/>
  <c r="AC17" i="5"/>
  <c r="AE17" i="5"/>
  <c r="AH17" i="5"/>
  <c r="AY17" i="5"/>
  <c r="BJ17" i="5"/>
  <c r="BK17" i="5"/>
  <c r="E26" i="5"/>
  <c r="I14" i="5"/>
  <c r="BF44" i="5"/>
  <c r="BF40" i="5"/>
  <c r="BF31" i="5"/>
  <c r="K13" i="5"/>
  <c r="K14" i="5"/>
  <c r="K26" i="5" s="1"/>
  <c r="K15" i="5"/>
  <c r="K16" i="5"/>
  <c r="K18" i="5"/>
  <c r="K19" i="5"/>
  <c r="K20" i="5"/>
  <c r="K21" i="5"/>
  <c r="K22" i="5"/>
  <c r="K23" i="5"/>
  <c r="K24" i="5"/>
  <c r="K25" i="5"/>
  <c r="Z13" i="5"/>
  <c r="W13" i="5" s="1"/>
  <c r="AE13" i="5"/>
  <c r="AH13" i="5"/>
  <c r="AY13" i="5"/>
  <c r="G26" i="5"/>
  <c r="Z14" i="5"/>
  <c r="AA14" i="5"/>
  <c r="AB14" i="5"/>
  <c r="AC14" i="5"/>
  <c r="AE14" i="5"/>
  <c r="AH14" i="5"/>
  <c r="AY14" i="5"/>
  <c r="CC14" i="5"/>
  <c r="CD14" i="5"/>
  <c r="X15" i="5"/>
  <c r="Z15" i="5"/>
  <c r="AA15" i="5"/>
  <c r="AB15" i="5"/>
  <c r="AC15" i="5"/>
  <c r="AE15" i="5"/>
  <c r="AK15" i="5"/>
  <c r="AH15" i="5"/>
  <c r="BR15" i="5"/>
  <c r="BT15" i="5"/>
  <c r="Z16" i="5"/>
  <c r="AB16" i="5"/>
  <c r="W16" i="5" s="1"/>
  <c r="BM16" i="5" s="1"/>
  <c r="AE16" i="5"/>
  <c r="AK16" i="5"/>
  <c r="AH16" i="5"/>
  <c r="AZ16" i="5"/>
  <c r="CH16" i="5"/>
  <c r="BJ26" i="5"/>
  <c r="BK26" i="5"/>
  <c r="BK49" i="5"/>
  <c r="BU17" i="5"/>
  <c r="CH17" i="5"/>
  <c r="H18" i="5"/>
  <c r="Z18" i="5"/>
  <c r="BM18" i="5" s="1"/>
  <c r="AB18" i="5"/>
  <c r="W18" i="5"/>
  <c r="AE18" i="5"/>
  <c r="AH18" i="5"/>
  <c r="BR18" i="5"/>
  <c r="CH18" i="5" s="1"/>
  <c r="Z19" i="5"/>
  <c r="AC19" i="5"/>
  <c r="AE19" i="5"/>
  <c r="AH19" i="5"/>
  <c r="AY19" i="5"/>
  <c r="AZ19" i="5"/>
  <c r="BR19" i="5"/>
  <c r="BT19" i="5"/>
  <c r="BV19" i="5"/>
  <c r="BV26" i="5"/>
  <c r="Z20" i="5"/>
  <c r="AB20" i="5"/>
  <c r="W20" i="5" s="1"/>
  <c r="AE20" i="5"/>
  <c r="AH20" i="5"/>
  <c r="AZ20" i="5"/>
  <c r="CH20" i="5"/>
  <c r="Z21" i="5"/>
  <c r="AE21" i="5"/>
  <c r="AK21" i="5"/>
  <c r="W21" i="5"/>
  <c r="AH21" i="5"/>
  <c r="BM21" i="5"/>
  <c r="CH21" i="5"/>
  <c r="H22" i="5"/>
  <c r="Z22" i="5"/>
  <c r="AA22" i="5"/>
  <c r="W22" i="5" s="1"/>
  <c r="AB22" i="5"/>
  <c r="AC22" i="5"/>
  <c r="AE22" i="5"/>
  <c r="AK22" i="5"/>
  <c r="AH22" i="5"/>
  <c r="CH22" i="5"/>
  <c r="Z23" i="5"/>
  <c r="AB23" i="5"/>
  <c r="W23" i="5"/>
  <c r="AE23" i="5"/>
  <c r="AK23" i="5"/>
  <c r="AH23" i="5" s="1"/>
  <c r="BM23" i="5" s="1"/>
  <c r="CH23" i="5"/>
  <c r="Z24" i="5"/>
  <c r="W24" i="5" s="1"/>
  <c r="BM24" i="5" s="1"/>
  <c r="AE24" i="5"/>
  <c r="AH24" i="5"/>
  <c r="CD24" i="5"/>
  <c r="CH24" i="5"/>
  <c r="Z25" i="5"/>
  <c r="AB25" i="5"/>
  <c r="W25" i="5" s="1"/>
  <c r="AE25" i="5"/>
  <c r="AH25" i="5"/>
  <c r="CH25" i="5"/>
  <c r="C26" i="5"/>
  <c r="F26" i="5"/>
  <c r="F112" i="5" s="1"/>
  <c r="F49" i="5"/>
  <c r="F107" i="5"/>
  <c r="I26" i="5"/>
  <c r="I112" i="5" s="1"/>
  <c r="I32" i="5"/>
  <c r="I49" i="5"/>
  <c r="I71" i="5"/>
  <c r="I107" i="5"/>
  <c r="J26" i="5"/>
  <c r="L26" i="5"/>
  <c r="L36" i="5"/>
  <c r="L49" i="5" s="1"/>
  <c r="L112" i="5" s="1"/>
  <c r="L107" i="5"/>
  <c r="M26" i="5"/>
  <c r="N26" i="5"/>
  <c r="O26" i="5"/>
  <c r="O112" i="5" s="1"/>
  <c r="O49" i="5"/>
  <c r="O107" i="5"/>
  <c r="P26" i="5"/>
  <c r="T26" i="5"/>
  <c r="U112" i="5"/>
  <c r="X26" i="5"/>
  <c r="Y26" i="5"/>
  <c r="AD26" i="5"/>
  <c r="AF26" i="5"/>
  <c r="AG26" i="5"/>
  <c r="AI26" i="5"/>
  <c r="AJ26" i="5"/>
  <c r="AL26" i="5"/>
  <c r="AM26" i="5"/>
  <c r="AN26" i="5"/>
  <c r="AN112" i="5" s="1"/>
  <c r="AN49" i="5"/>
  <c r="AN107" i="5"/>
  <c r="AQ26" i="5"/>
  <c r="AQ49" i="5"/>
  <c r="AQ111" i="5"/>
  <c r="AQ107" i="5"/>
  <c r="AQ112" i="5"/>
  <c r="AS26" i="5"/>
  <c r="AT26" i="5"/>
  <c r="AW26" i="5"/>
  <c r="AW49" i="5"/>
  <c r="AW107" i="5"/>
  <c r="AW112" i="5"/>
  <c r="AX26" i="5"/>
  <c r="AY26" i="5"/>
  <c r="BA26" i="5"/>
  <c r="BB26" i="5"/>
  <c r="BD26" i="5"/>
  <c r="BE26" i="5"/>
  <c r="BF26" i="5"/>
  <c r="BG26" i="5"/>
  <c r="BH26" i="5"/>
  <c r="BI26" i="5"/>
  <c r="BN26" i="5"/>
  <c r="BN49" i="5"/>
  <c r="BN107" i="5"/>
  <c r="BN112" i="5"/>
  <c r="BQ26" i="5"/>
  <c r="BW26" i="5"/>
  <c r="BX26" i="5"/>
  <c r="BY26" i="5"/>
  <c r="CB26" i="5"/>
  <c r="CE26" i="5"/>
  <c r="CF26" i="5"/>
  <c r="CG26" i="5"/>
  <c r="CI26" i="5"/>
  <c r="H27" i="5"/>
  <c r="BM27" i="5" s="1"/>
  <c r="K27" i="5"/>
  <c r="W27" i="5"/>
  <c r="AE27" i="5"/>
  <c r="AH27" i="5"/>
  <c r="AX27" i="5"/>
  <c r="AY27" i="5"/>
  <c r="CH27" i="5"/>
  <c r="D28" i="5"/>
  <c r="K28" i="5"/>
  <c r="Z28" i="5"/>
  <c r="W28" i="5"/>
  <c r="AF28" i="5"/>
  <c r="AE28" i="5"/>
  <c r="AH28" i="5"/>
  <c r="AY28" i="5"/>
  <c r="BF28" i="5"/>
  <c r="BM28" i="5"/>
  <c r="CH28" i="5"/>
  <c r="D29" i="5"/>
  <c r="H29" i="5"/>
  <c r="K29" i="5"/>
  <c r="Z29" i="5"/>
  <c r="AB29" i="5"/>
  <c r="AE29" i="5"/>
  <c r="W29" i="5"/>
  <c r="AH29" i="5"/>
  <c r="AY29" i="5"/>
  <c r="BF29" i="5"/>
  <c r="BM29" i="5"/>
  <c r="CH29" i="5"/>
  <c r="D30" i="5"/>
  <c r="K30" i="5"/>
  <c r="Z30" i="5"/>
  <c r="W30" i="5" s="1"/>
  <c r="AE30" i="5"/>
  <c r="AH30" i="5"/>
  <c r="BT30" i="5"/>
  <c r="BV30" i="5"/>
  <c r="CH30" i="5"/>
  <c r="K31" i="5"/>
  <c r="Y31" i="5"/>
  <c r="BM31" i="5" s="1"/>
  <c r="Z31" i="5"/>
  <c r="W31" i="5"/>
  <c r="AE31" i="5"/>
  <c r="AH31" i="5"/>
  <c r="AY31" i="5"/>
  <c r="BH31" i="5"/>
  <c r="CH31" i="5"/>
  <c r="D32" i="5"/>
  <c r="K32" i="5"/>
  <c r="BM32" i="5" s="1"/>
  <c r="Z32" i="5"/>
  <c r="W32" i="5"/>
  <c r="AE32" i="5"/>
  <c r="AH32" i="5"/>
  <c r="CH32" i="5"/>
  <c r="D33" i="5"/>
  <c r="K33" i="5"/>
  <c r="Y33" i="5"/>
  <c r="Z33" i="5"/>
  <c r="AE33" i="5"/>
  <c r="AH33" i="5"/>
  <c r="BF33" i="5"/>
  <c r="BP33" i="5"/>
  <c r="BP49" i="5" s="1"/>
  <c r="BR33" i="5"/>
  <c r="BR49" i="5" s="1"/>
  <c r="H34" i="5"/>
  <c r="H45" i="5"/>
  <c r="H49" i="5"/>
  <c r="K34" i="5"/>
  <c r="Q34" i="5"/>
  <c r="Z34" i="5"/>
  <c r="W34" i="5"/>
  <c r="AF34" i="5"/>
  <c r="AE34" i="5"/>
  <c r="AH34" i="5"/>
  <c r="BF34" i="5"/>
  <c r="CH34" i="5"/>
  <c r="D35" i="5"/>
  <c r="K35" i="5"/>
  <c r="Z35" i="5"/>
  <c r="W35" i="5" s="1"/>
  <c r="AF35" i="5"/>
  <c r="AE35" i="5" s="1"/>
  <c r="AH35" i="5"/>
  <c r="BF35" i="5"/>
  <c r="BV35" i="5"/>
  <c r="CH35" i="5"/>
  <c r="Y36" i="5"/>
  <c r="Z36" i="5"/>
  <c r="W36" i="5" s="1"/>
  <c r="K36" i="5"/>
  <c r="AE36" i="5"/>
  <c r="AH36" i="5"/>
  <c r="AZ36" i="5"/>
  <c r="BF36" i="5"/>
  <c r="BF48" i="5"/>
  <c r="BF46" i="5"/>
  <c r="BF41" i="5"/>
  <c r="BF37" i="5"/>
  <c r="BF49" i="5"/>
  <c r="BT36" i="5"/>
  <c r="BV36" i="5"/>
  <c r="CH36" i="5" s="1"/>
  <c r="D37" i="5"/>
  <c r="BM37" i="5" s="1"/>
  <c r="K37" i="5"/>
  <c r="Q37" i="5"/>
  <c r="Z37" i="5"/>
  <c r="W37" i="5"/>
  <c r="AF37" i="5"/>
  <c r="AE37" i="5"/>
  <c r="AH37" i="5"/>
  <c r="AY37" i="5"/>
  <c r="Q48" i="5"/>
  <c r="Q46" i="5"/>
  <c r="Q49" i="5"/>
  <c r="CH37" i="5"/>
  <c r="D38" i="5"/>
  <c r="K38" i="5"/>
  <c r="Y38" i="5"/>
  <c r="Z38" i="5"/>
  <c r="AE38" i="5"/>
  <c r="AH38" i="5"/>
  <c r="CH38" i="5"/>
  <c r="D39" i="5"/>
  <c r="K39" i="5"/>
  <c r="Y39" i="5"/>
  <c r="Z39" i="5"/>
  <c r="W39" i="5" s="1"/>
  <c r="BM39" i="5" s="1"/>
  <c r="AE39" i="5"/>
  <c r="AH39" i="5"/>
  <c r="CH39" i="5"/>
  <c r="D40" i="5"/>
  <c r="K40" i="5"/>
  <c r="Z40" i="5"/>
  <c r="W40" i="5" s="1"/>
  <c r="AE40" i="5"/>
  <c r="AH40" i="5"/>
  <c r="AX40" i="5"/>
  <c r="CH40" i="5"/>
  <c r="D41" i="5"/>
  <c r="K41" i="5"/>
  <c r="Z41" i="5"/>
  <c r="AE41" i="5"/>
  <c r="AH41" i="5"/>
  <c r="AY41" i="5"/>
  <c r="BV41" i="5"/>
  <c r="CH41" i="5"/>
  <c r="D42" i="5"/>
  <c r="K42" i="5"/>
  <c r="Y42" i="5"/>
  <c r="Z42" i="5"/>
  <c r="W42" i="5" s="1"/>
  <c r="AF42" i="5"/>
  <c r="AE42" i="5" s="1"/>
  <c r="AH42" i="5"/>
  <c r="BV42" i="5"/>
  <c r="CH42" i="5"/>
  <c r="D43" i="5"/>
  <c r="K43" i="5"/>
  <c r="BM43" i="5" s="1"/>
  <c r="Z43" i="5"/>
  <c r="W43" i="5"/>
  <c r="AE43" i="5"/>
  <c r="AH43" i="5"/>
  <c r="AX43" i="5"/>
  <c r="BH43" i="5"/>
  <c r="BH49" i="5"/>
  <c r="CH43" i="5"/>
  <c r="D44" i="5"/>
  <c r="K44" i="5"/>
  <c r="Z44" i="5"/>
  <c r="W44" i="5" s="1"/>
  <c r="AE44" i="5"/>
  <c r="AH44" i="5"/>
  <c r="AX44" i="5"/>
  <c r="CH44" i="5"/>
  <c r="D45" i="5"/>
  <c r="K45" i="5"/>
  <c r="BM45" i="5" s="1"/>
  <c r="Z45" i="5"/>
  <c r="W45" i="5"/>
  <c r="AE45" i="5"/>
  <c r="AH45" i="5"/>
  <c r="AX45" i="5"/>
  <c r="AY45" i="5"/>
  <c r="BV45" i="5"/>
  <c r="CH45" i="5" s="1"/>
  <c r="D46" i="5"/>
  <c r="K46" i="5"/>
  <c r="Y46" i="5"/>
  <c r="BM46" i="5" s="1"/>
  <c r="Z46" i="5"/>
  <c r="W46" i="5"/>
  <c r="AF46" i="5"/>
  <c r="AE46" i="5"/>
  <c r="AH46" i="5"/>
  <c r="AX46" i="5"/>
  <c r="CH46" i="5"/>
  <c r="D47" i="5"/>
  <c r="K47" i="5"/>
  <c r="Y47" i="5"/>
  <c r="Z47" i="5"/>
  <c r="AE47" i="5"/>
  <c r="AH47" i="5"/>
  <c r="BV47" i="5"/>
  <c r="D48" i="5"/>
  <c r="D49" i="5" s="1"/>
  <c r="D112" i="5" s="1"/>
  <c r="D110" i="5"/>
  <c r="D51" i="5"/>
  <c r="D54" i="5"/>
  <c r="D107" i="5" s="1"/>
  <c r="D55" i="5"/>
  <c r="D56" i="5"/>
  <c r="D57" i="5"/>
  <c r="D58" i="5"/>
  <c r="D59" i="5"/>
  <c r="D60" i="5"/>
  <c r="D61" i="5"/>
  <c r="D62" i="5"/>
  <c r="D63" i="5"/>
  <c r="D64" i="5"/>
  <c r="D66" i="5"/>
  <c r="D68" i="5"/>
  <c r="D69" i="5"/>
  <c r="D70" i="5"/>
  <c r="D71" i="5"/>
  <c r="D72" i="5"/>
  <c r="D73" i="5"/>
  <c r="D74" i="5"/>
  <c r="D75" i="5"/>
  <c r="D76" i="5"/>
  <c r="D77" i="5"/>
  <c r="D78" i="5"/>
  <c r="D79" i="5"/>
  <c r="D81" i="5"/>
  <c r="D83" i="5"/>
  <c r="D84" i="5"/>
  <c r="K48" i="5"/>
  <c r="K49" i="5"/>
  <c r="Z48" i="5"/>
  <c r="Z49" i="5"/>
  <c r="AE48" i="5"/>
  <c r="AH48" i="5"/>
  <c r="AX48" i="5"/>
  <c r="AY48" i="5"/>
  <c r="AY49" i="5" s="1"/>
  <c r="AY112" i="5" s="1"/>
  <c r="AY51" i="5"/>
  <c r="AY63" i="5"/>
  <c r="AY88" i="5"/>
  <c r="AY91" i="5"/>
  <c r="AY92" i="5"/>
  <c r="AY93" i="5"/>
  <c r="AY95" i="5"/>
  <c r="AY96" i="5"/>
  <c r="AY107" i="5"/>
  <c r="BV48" i="5"/>
  <c r="CH48" i="5" s="1"/>
  <c r="C49" i="5"/>
  <c r="J49" i="5"/>
  <c r="M49" i="5"/>
  <c r="N49" i="5"/>
  <c r="N107" i="5"/>
  <c r="N112" i="5" s="1"/>
  <c r="P49" i="5"/>
  <c r="T49" i="5"/>
  <c r="X49" i="5"/>
  <c r="AA49" i="5"/>
  <c r="AB49" i="5"/>
  <c r="AC49" i="5"/>
  <c r="AD49" i="5"/>
  <c r="AG49" i="5"/>
  <c r="AI49" i="5"/>
  <c r="AJ49" i="5"/>
  <c r="AK49" i="5"/>
  <c r="AL49" i="5"/>
  <c r="AH49" i="5"/>
  <c r="AM49" i="5"/>
  <c r="AM107" i="5"/>
  <c r="AM112" i="5" s="1"/>
  <c r="AS49" i="5"/>
  <c r="AS112" i="5" s="1"/>
  <c r="AS111" i="5"/>
  <c r="AS107" i="5"/>
  <c r="AT49" i="5"/>
  <c r="AZ49" i="5"/>
  <c r="BA49" i="5"/>
  <c r="BB49" i="5"/>
  <c r="BC49" i="5"/>
  <c r="BD49" i="5"/>
  <c r="BD107" i="5"/>
  <c r="BD112" i="5" s="1"/>
  <c r="BE49" i="5"/>
  <c r="BE107" i="5"/>
  <c r="BE112" i="5"/>
  <c r="BG49" i="5"/>
  <c r="BI49" i="5"/>
  <c r="BI107" i="5"/>
  <c r="BI112" i="5"/>
  <c r="BJ49" i="5"/>
  <c r="BQ49" i="5"/>
  <c r="BQ107" i="5"/>
  <c r="BQ112" i="5"/>
  <c r="BU49" i="5"/>
  <c r="BW49" i="5"/>
  <c r="BX49" i="5"/>
  <c r="BY49" i="5"/>
  <c r="CB49" i="5"/>
  <c r="CC49" i="5"/>
  <c r="CD49" i="5"/>
  <c r="CE49" i="5"/>
  <c r="CE107" i="5"/>
  <c r="CE112" i="5"/>
  <c r="CF49" i="5"/>
  <c r="CF107" i="5"/>
  <c r="CF112" i="5" s="1"/>
  <c r="CG49" i="5"/>
  <c r="CI49" i="5"/>
  <c r="K50" i="5"/>
  <c r="W50" i="5"/>
  <c r="AE50" i="5"/>
  <c r="AH50" i="5"/>
  <c r="BM50" i="5"/>
  <c r="CH50" i="5"/>
  <c r="K51" i="5"/>
  <c r="Z51" i="5"/>
  <c r="W51" i="5"/>
  <c r="AE51" i="5"/>
  <c r="AH51" i="5"/>
  <c r="CH51" i="5"/>
  <c r="K52" i="5"/>
  <c r="Q52" i="5"/>
  <c r="Z52" i="5"/>
  <c r="W52" i="5"/>
  <c r="AE52" i="5"/>
  <c r="AH52" i="5"/>
  <c r="BV52" i="5"/>
  <c r="K53" i="5"/>
  <c r="Q53" i="5"/>
  <c r="Z53" i="5"/>
  <c r="W53" i="5" s="1"/>
  <c r="AE53" i="5"/>
  <c r="AH53" i="5"/>
  <c r="CH53" i="5"/>
  <c r="K54" i="5"/>
  <c r="Y54" i="5"/>
  <c r="Z54" i="5"/>
  <c r="W54" i="5"/>
  <c r="AE54" i="5"/>
  <c r="AH54" i="5"/>
  <c r="AX54" i="5"/>
  <c r="CH54" i="5"/>
  <c r="Z55" i="5"/>
  <c r="W55" i="5"/>
  <c r="AE55" i="5"/>
  <c r="AH55" i="5"/>
  <c r="AX55" i="5"/>
  <c r="BM55" i="5"/>
  <c r="CH55" i="5"/>
  <c r="K56" i="5"/>
  <c r="Z56" i="5"/>
  <c r="W56" i="5"/>
  <c r="AE56" i="5"/>
  <c r="AH56" i="5"/>
  <c r="BV56" i="5"/>
  <c r="K57" i="5"/>
  <c r="X57" i="5"/>
  <c r="Z57" i="5"/>
  <c r="AD57" i="5"/>
  <c r="AE57" i="5"/>
  <c r="AH57" i="5"/>
  <c r="AX57" i="5"/>
  <c r="CH57" i="5"/>
  <c r="K58" i="5"/>
  <c r="Z58" i="5"/>
  <c r="AE58" i="5"/>
  <c r="AH58" i="5"/>
  <c r="AX58" i="5"/>
  <c r="BV58" i="5"/>
  <c r="CH58" i="5" s="1"/>
  <c r="K59" i="5"/>
  <c r="Z59" i="5"/>
  <c r="W59" i="5"/>
  <c r="AE59" i="5"/>
  <c r="AH59" i="5"/>
  <c r="BR59" i="5"/>
  <c r="CH59" i="5"/>
  <c r="K60" i="5"/>
  <c r="Z60" i="5"/>
  <c r="W60" i="5" s="1"/>
  <c r="AE60" i="5"/>
  <c r="AH60" i="5"/>
  <c r="AX60" i="5"/>
  <c r="CH60" i="5"/>
  <c r="K61" i="5"/>
  <c r="Z61" i="5"/>
  <c r="AE61" i="5"/>
  <c r="W61" i="5"/>
  <c r="AH61" i="5"/>
  <c r="BG61" i="5"/>
  <c r="BM61" i="5"/>
  <c r="CH61" i="5"/>
  <c r="K62" i="5"/>
  <c r="Z62" i="5"/>
  <c r="W62" i="5"/>
  <c r="AE62" i="5"/>
  <c r="AH62" i="5"/>
  <c r="AX62" i="5"/>
  <c r="BM62" i="5"/>
  <c r="CH62" i="5"/>
  <c r="K63" i="5"/>
  <c r="Z63" i="5"/>
  <c r="AA63" i="5"/>
  <c r="AA107" i="5" s="1"/>
  <c r="AE63" i="5"/>
  <c r="AH63" i="5"/>
  <c r="CH63" i="5"/>
  <c r="K64" i="5"/>
  <c r="Z64" i="5"/>
  <c r="AE64" i="5"/>
  <c r="AH64" i="5"/>
  <c r="AX64" i="5"/>
  <c r="CH64" i="5"/>
  <c r="Z65" i="5"/>
  <c r="W65" i="5"/>
  <c r="AE65" i="5"/>
  <c r="AH65" i="5"/>
  <c r="CH65" i="5"/>
  <c r="Z66" i="5"/>
  <c r="W66" i="5"/>
  <c r="AE66" i="5"/>
  <c r="AH66" i="5"/>
  <c r="AX66" i="5"/>
  <c r="BM66" i="5"/>
  <c r="CH66" i="5"/>
  <c r="K67" i="5"/>
  <c r="Z67" i="5"/>
  <c r="W67" i="5"/>
  <c r="AE67" i="5"/>
  <c r="AH67" i="5"/>
  <c r="CH67" i="5"/>
  <c r="K68" i="5"/>
  <c r="Z68" i="5"/>
  <c r="W68" i="5" s="1"/>
  <c r="AE68" i="5"/>
  <c r="AH68" i="5"/>
  <c r="BM68" i="5"/>
  <c r="BV68" i="5"/>
  <c r="CH68" i="5"/>
  <c r="K69" i="5"/>
  <c r="P69" i="5"/>
  <c r="Y69" i="5"/>
  <c r="Z69" i="5"/>
  <c r="W69" i="5" s="1"/>
  <c r="AE69" i="5"/>
  <c r="AH69" i="5"/>
  <c r="CH69" i="5"/>
  <c r="Z70" i="5"/>
  <c r="AE70" i="5"/>
  <c r="AH70" i="5"/>
  <c r="AX70" i="5"/>
  <c r="AX72" i="5"/>
  <c r="AX81" i="5"/>
  <c r="AX91" i="5"/>
  <c r="AX97" i="5"/>
  <c r="AX98" i="5"/>
  <c r="AX99" i="5"/>
  <c r="AX101" i="5"/>
  <c r="AX102" i="5"/>
  <c r="AX106" i="5"/>
  <c r="AX49" i="5"/>
  <c r="CH70" i="5"/>
  <c r="K71" i="5"/>
  <c r="Z71" i="5"/>
  <c r="W71" i="5" s="1"/>
  <c r="AE71" i="5"/>
  <c r="AH71" i="5"/>
  <c r="BV71" i="5"/>
  <c r="CH71" i="5" s="1"/>
  <c r="Z72" i="5"/>
  <c r="W72" i="5" s="1"/>
  <c r="AE72" i="5"/>
  <c r="AH72" i="5"/>
  <c r="BM72" i="5"/>
  <c r="CH72" i="5"/>
  <c r="Z73" i="5"/>
  <c r="W73" i="5" s="1"/>
  <c r="AE73" i="5"/>
  <c r="AH73" i="5"/>
  <c r="CH73" i="5"/>
  <c r="K74" i="5"/>
  <c r="Z74" i="5"/>
  <c r="W74" i="5"/>
  <c r="AE74" i="5"/>
  <c r="AH74" i="5"/>
  <c r="CH74" i="5"/>
  <c r="P75" i="5"/>
  <c r="P76" i="5"/>
  <c r="P77" i="5"/>
  <c r="P93" i="5"/>
  <c r="Y75" i="5"/>
  <c r="Z75" i="5"/>
  <c r="W75" i="5"/>
  <c r="AE75" i="5"/>
  <c r="AH75" i="5"/>
  <c r="CH75" i="5"/>
  <c r="Y76" i="5"/>
  <c r="Z76" i="5"/>
  <c r="AE76" i="5"/>
  <c r="AH76" i="5"/>
  <c r="CH76" i="5"/>
  <c r="K77" i="5"/>
  <c r="Q77" i="5"/>
  <c r="Z77" i="5"/>
  <c r="W77" i="5" s="1"/>
  <c r="AE77" i="5"/>
  <c r="AH77" i="5"/>
  <c r="BG77" i="5"/>
  <c r="BH77" i="5"/>
  <c r="CH77" i="5"/>
  <c r="Z78" i="5"/>
  <c r="W78" i="5" s="1"/>
  <c r="AE78" i="5"/>
  <c r="AH78" i="5"/>
  <c r="CH78" i="5"/>
  <c r="K79" i="5"/>
  <c r="Z79" i="5"/>
  <c r="AE79" i="5"/>
  <c r="AH79" i="5"/>
  <c r="CH79" i="5"/>
  <c r="K80" i="5"/>
  <c r="Z80" i="5"/>
  <c r="W80" i="5"/>
  <c r="AE80" i="5"/>
  <c r="AH80" i="5"/>
  <c r="BV80" i="5"/>
  <c r="CH80" i="5"/>
  <c r="K81" i="5"/>
  <c r="Z81" i="5"/>
  <c r="AE81" i="5"/>
  <c r="AH81" i="5"/>
  <c r="CH81" i="5"/>
  <c r="K82" i="5"/>
  <c r="BM82" i="5" s="1"/>
  <c r="Z82" i="5"/>
  <c r="W82" i="5"/>
  <c r="AE82" i="5"/>
  <c r="AH82" i="5"/>
  <c r="CH82" i="5"/>
  <c r="K83" i="5"/>
  <c r="Z83" i="5"/>
  <c r="AE83" i="5"/>
  <c r="W83" i="5"/>
  <c r="AH83" i="5"/>
  <c r="BM83" i="5"/>
  <c r="BV83" i="5"/>
  <c r="CH83" i="5"/>
  <c r="K84" i="5"/>
  <c r="Y84" i="5"/>
  <c r="Z84" i="5"/>
  <c r="W84" i="5"/>
  <c r="AE84" i="5"/>
  <c r="AH84" i="5"/>
  <c r="BH84" i="5"/>
  <c r="BM84" i="5"/>
  <c r="BH89" i="5"/>
  <c r="BH92" i="5"/>
  <c r="BH107" i="5" s="1"/>
  <c r="BH95" i="5"/>
  <c r="BH102" i="5"/>
  <c r="BH110" i="5"/>
  <c r="CH84" i="5"/>
  <c r="K85" i="5"/>
  <c r="Y85" i="5"/>
  <c r="W85" i="5" s="1"/>
  <c r="BM85" i="5" s="1"/>
  <c r="AE85" i="5"/>
  <c r="AH85" i="5"/>
  <c r="BV85" i="5"/>
  <c r="CH85" i="5" s="1"/>
  <c r="W86" i="5"/>
  <c r="BM86" i="5" s="1"/>
  <c r="AE86" i="5"/>
  <c r="AH86" i="5"/>
  <c r="CH86" i="5"/>
  <c r="X107" i="5"/>
  <c r="CH87" i="5"/>
  <c r="K88" i="5"/>
  <c r="W88" i="5"/>
  <c r="BM88" i="5" s="1"/>
  <c r="AE88" i="5"/>
  <c r="AH88" i="5"/>
  <c r="BR88" i="5"/>
  <c r="K89" i="5"/>
  <c r="W89" i="5"/>
  <c r="BM89" i="5" s="1"/>
  <c r="AE89" i="5"/>
  <c r="AH89" i="5"/>
  <c r="BV89" i="5"/>
  <c r="CH89" i="5" s="1"/>
  <c r="K90" i="5"/>
  <c r="BM90" i="5" s="1"/>
  <c r="W90" i="5"/>
  <c r="AE90" i="5"/>
  <c r="AH90" i="5"/>
  <c r="AZ90" i="5"/>
  <c r="CH90" i="5"/>
  <c r="K91" i="5"/>
  <c r="W91" i="5"/>
  <c r="BM91" i="5" s="1"/>
  <c r="AE91" i="5"/>
  <c r="AH91" i="5"/>
  <c r="CH91" i="5"/>
  <c r="K92" i="5"/>
  <c r="W92" i="5"/>
  <c r="AE92" i="5"/>
  <c r="AH92" i="5"/>
  <c r="BG92" i="5"/>
  <c r="BM92" i="5"/>
  <c r="CH92" i="5"/>
  <c r="K93" i="5"/>
  <c r="BM93" i="5" s="1"/>
  <c r="W93" i="5"/>
  <c r="AE93" i="5"/>
  <c r="AH93" i="5"/>
  <c r="AZ93" i="5"/>
  <c r="BV93" i="5"/>
  <c r="CH93" i="5" s="1"/>
  <c r="K94" i="5"/>
  <c r="BM94" i="5" s="1"/>
  <c r="Y94" i="5"/>
  <c r="AE94" i="5"/>
  <c r="W94" i="5"/>
  <c r="AH94" i="5"/>
  <c r="BV94" i="5"/>
  <c r="CH94" i="5" s="1"/>
  <c r="K95" i="5"/>
  <c r="W95" i="5"/>
  <c r="AE95" i="5"/>
  <c r="AH95" i="5"/>
  <c r="BM95" i="5"/>
  <c r="BV95" i="5"/>
  <c r="CH95" i="5"/>
  <c r="K96" i="5"/>
  <c r="W96" i="5"/>
  <c r="AE96" i="5"/>
  <c r="AH96" i="5"/>
  <c r="BL96" i="5"/>
  <c r="BM96" i="5"/>
  <c r="BL107" i="5"/>
  <c r="BL112" i="5"/>
  <c r="BV96" i="5"/>
  <c r="CH96" i="5"/>
  <c r="W97" i="5"/>
  <c r="AE97" i="5"/>
  <c r="AH97" i="5"/>
  <c r="BM97" i="5"/>
  <c r="CH97" i="5"/>
  <c r="K98" i="5"/>
  <c r="W98" i="5"/>
  <c r="AE98" i="5"/>
  <c r="AH98" i="5"/>
  <c r="BM98" i="5"/>
  <c r="BV98" i="5"/>
  <c r="CH98" i="5"/>
  <c r="K99" i="5"/>
  <c r="W99" i="5"/>
  <c r="BM99" i="5" s="1"/>
  <c r="AE99" i="5"/>
  <c r="AH99" i="5"/>
  <c r="CH99" i="5"/>
  <c r="K100" i="5"/>
  <c r="Y100" i="5"/>
  <c r="W100" i="5" s="1"/>
  <c r="BM100" i="5" s="1"/>
  <c r="AE100" i="5"/>
  <c r="AH100" i="5"/>
  <c r="CH100" i="5"/>
  <c r="K101" i="5"/>
  <c r="W101" i="5"/>
  <c r="AE101" i="5"/>
  <c r="AH101" i="5"/>
  <c r="Q102" i="5"/>
  <c r="Q107" i="5" s="1"/>
  <c r="Q112" i="5" s="1"/>
  <c r="W102" i="5"/>
  <c r="AE102" i="5"/>
  <c r="AH102" i="5"/>
  <c r="CH102" i="5"/>
  <c r="W103" i="5"/>
  <c r="BM103" i="5" s="1"/>
  <c r="AE103" i="5"/>
  <c r="AH103" i="5"/>
  <c r="CH103" i="5"/>
  <c r="K104" i="5"/>
  <c r="W104" i="5"/>
  <c r="BM104" i="5" s="1"/>
  <c r="AE104" i="5"/>
  <c r="AH104" i="5"/>
  <c r="CH104" i="5"/>
  <c r="W105" i="5"/>
  <c r="AE105" i="5"/>
  <c r="BM105" i="5" s="1"/>
  <c r="AH105" i="5"/>
  <c r="BG105" i="5"/>
  <c r="BR105" i="5"/>
  <c r="BV105" i="5"/>
  <c r="CH105" i="5"/>
  <c r="K106" i="5"/>
  <c r="W106" i="5"/>
  <c r="BM106" i="5" s="1"/>
  <c r="AE106" i="5"/>
  <c r="AH106" i="5"/>
  <c r="CH106" i="5"/>
  <c r="C107" i="5"/>
  <c r="E107" i="5"/>
  <c r="G107" i="5"/>
  <c r="H107" i="5"/>
  <c r="J107" i="5"/>
  <c r="M107" i="5"/>
  <c r="V107" i="5"/>
  <c r="V112" i="5"/>
  <c r="AB107" i="5"/>
  <c r="AC107" i="5"/>
  <c r="AD107" i="5"/>
  <c r="AF107" i="5"/>
  <c r="AG107" i="5"/>
  <c r="AE107" i="5"/>
  <c r="AI107" i="5"/>
  <c r="AJ107" i="5"/>
  <c r="AK107" i="5"/>
  <c r="AL107" i="5"/>
  <c r="AL112" i="5" s="1"/>
  <c r="AO107" i="5"/>
  <c r="AO112" i="5" s="1"/>
  <c r="AP107" i="5"/>
  <c r="AP112" i="5" s="1"/>
  <c r="AR107" i="5"/>
  <c r="AT107" i="5"/>
  <c r="AT112" i="5"/>
  <c r="AZ107" i="5"/>
  <c r="BA107" i="5"/>
  <c r="BB107" i="5"/>
  <c r="BC107" i="5"/>
  <c r="BF107" i="5"/>
  <c r="BJ107" i="5"/>
  <c r="BJ112" i="5" s="1"/>
  <c r="BK107" i="5"/>
  <c r="BP107" i="5"/>
  <c r="BT107" i="5"/>
  <c r="BU107" i="5"/>
  <c r="BW107" i="5"/>
  <c r="BX107" i="5"/>
  <c r="BY107" i="5"/>
  <c r="CB107" i="5"/>
  <c r="CC107" i="5"/>
  <c r="CD107" i="5"/>
  <c r="CG107" i="5"/>
  <c r="CI107" i="5"/>
  <c r="CI112" i="5"/>
  <c r="W108" i="5"/>
  <c r="AE108" i="5"/>
  <c r="AH108" i="5"/>
  <c r="BM108" i="5"/>
  <c r="CH108" i="5"/>
  <c r="W109" i="5"/>
  <c r="AE109" i="5"/>
  <c r="AH109" i="5"/>
  <c r="CH109" i="5"/>
  <c r="K110" i="5"/>
  <c r="W110" i="5"/>
  <c r="AF110" i="5"/>
  <c r="AE110" i="5" s="1"/>
  <c r="AZ110" i="5"/>
  <c r="BG110" i="5"/>
  <c r="CH110" i="5"/>
  <c r="C111" i="5"/>
  <c r="BM111" i="5" s="1"/>
  <c r="K111" i="5"/>
  <c r="W111" i="5"/>
  <c r="AE111" i="5"/>
  <c r="AH111" i="5"/>
  <c r="AR111" i="5"/>
  <c r="AV111" i="5"/>
  <c r="AR112" i="5"/>
  <c r="CH111" i="5"/>
  <c r="J112" i="5"/>
  <c r="AU112" i="5"/>
  <c r="AV112" i="5"/>
  <c r="CH120" i="5"/>
  <c r="W14" i="5"/>
  <c r="CH52" i="5"/>
  <c r="CH15" i="5"/>
  <c r="CC26" i="5"/>
  <c r="CC112" i="5"/>
  <c r="CH14" i="5"/>
  <c r="BM101" i="5"/>
  <c r="BM78" i="5"/>
  <c r="W48" i="5"/>
  <c r="H26" i="5"/>
  <c r="CH47" i="5"/>
  <c r="W33" i="5"/>
  <c r="W79" i="5"/>
  <c r="BM79" i="5" s="1"/>
  <c r="BM60" i="5"/>
  <c r="AE26" i="5"/>
  <c r="W15" i="5"/>
  <c r="CB112" i="5"/>
  <c r="BW112" i="5"/>
  <c r="BG107" i="5"/>
  <c r="BG112" i="5" s="1"/>
  <c r="CH56" i="5"/>
  <c r="K107" i="5"/>
  <c r="BM33" i="5"/>
  <c r="BM80" i="5"/>
  <c r="W64" i="5"/>
  <c r="BM64" i="5" s="1"/>
  <c r="W41" i="5"/>
  <c r="BM41" i="5" s="1"/>
  <c r="Y107" i="5"/>
  <c r="W63" i="5"/>
  <c r="BM63" i="5"/>
  <c r="BM109" i="5"/>
  <c r="CH88" i="5"/>
  <c r="W81" i="5"/>
  <c r="BM81" i="5" s="1"/>
  <c r="W76" i="5"/>
  <c r="BM76" i="5" s="1"/>
  <c r="BM59" i="5"/>
  <c r="Z107" i="5"/>
  <c r="BV49" i="5"/>
  <c r="W57" i="5"/>
  <c r="BM57" i="5"/>
  <c r="BA112" i="5"/>
  <c r="AI112" i="5"/>
  <c r="T112" i="5"/>
  <c r="AZ26" i="5"/>
  <c r="AB26" i="5"/>
  <c r="Z26" i="5"/>
  <c r="W19" i="5"/>
  <c r="BM19" i="5"/>
  <c r="BT26" i="5"/>
  <c r="BY112" i="5"/>
  <c r="M112" i="5"/>
  <c r="H112" i="5"/>
  <c r="BC112" i="5"/>
  <c r="BP112" i="5"/>
  <c r="BB112" i="5"/>
  <c r="BK112" i="5"/>
  <c r="BM71" i="5"/>
  <c r="BM15" i="5"/>
  <c r="K112" i="5"/>
  <c r="W107" i="5"/>
  <c r="AH107" i="5"/>
  <c r="BM54" i="5"/>
  <c r="AK26" i="5"/>
  <c r="AH26" i="5"/>
  <c r="BM42" i="5"/>
  <c r="E112" i="5"/>
  <c r="Z112" i="5"/>
  <c r="AD112" i="5"/>
  <c r="AA26" i="5"/>
  <c r="AA112" i="5" s="1"/>
  <c r="BR107" i="5"/>
  <c r="BV107" i="5"/>
  <c r="CH107" i="5"/>
  <c r="BM34" i="5"/>
  <c r="BM52" i="5"/>
  <c r="BM22" i="5"/>
  <c r="W47" i="5"/>
  <c r="BM47" i="5" s="1"/>
  <c r="BM48" i="5"/>
  <c r="AK112" i="5"/>
  <c r="AF49" i="5"/>
  <c r="CD26" i="5"/>
  <c r="CD112" i="5" s="1"/>
  <c r="AC26" i="5"/>
  <c r="AC112" i="5" s="1"/>
  <c r="BO112" i="5"/>
  <c r="BS112" i="5"/>
  <c r="BF112" i="5"/>
  <c r="AB112" i="5"/>
  <c r="W38" i="5"/>
  <c r="BM38" i="5" s="1"/>
  <c r="AJ112" i="5"/>
  <c r="CH19" i="5"/>
  <c r="G49" i="5"/>
  <c r="G112" i="5" s="1"/>
  <c r="BM30" i="5"/>
  <c r="BT49" i="5"/>
  <c r="CH49" i="5"/>
  <c r="BM102" i="5"/>
  <c r="BM13" i="5"/>
  <c r="Y49" i="5"/>
  <c r="Y112" i="5"/>
  <c r="BM14" i="5"/>
  <c r="BM53" i="5"/>
  <c r="AG112" i="5"/>
  <c r="CH33" i="5"/>
  <c r="CG112" i="5"/>
  <c r="BU26" i="5"/>
  <c r="BU112" i="5" s="1"/>
  <c r="C112" i="5"/>
  <c r="BX112" i="5"/>
  <c r="W26" i="5"/>
  <c r="AZ112" i="5"/>
  <c r="BM25" i="5"/>
  <c r="X112" i="5"/>
  <c r="BV112" i="5"/>
  <c r="BT112" i="5"/>
  <c r="AE49" i="5"/>
  <c r="AF112" i="5"/>
  <c r="AH112" i="5"/>
  <c r="W49" i="5"/>
  <c r="W112" i="5" l="1"/>
  <c r="BH112" i="5"/>
  <c r="BM110" i="5"/>
  <c r="AE112" i="5"/>
  <c r="BM49" i="5"/>
  <c r="BM26" i="5"/>
  <c r="BM77" i="5"/>
  <c r="BM75" i="5"/>
  <c r="BM74" i="5"/>
  <c r="BM73" i="5"/>
  <c r="W70" i="5"/>
  <c r="BM70" i="5"/>
  <c r="BM69" i="5"/>
  <c r="BM65" i="5"/>
  <c r="AX107" i="5"/>
  <c r="BM56" i="5"/>
  <c r="BM51" i="5"/>
  <c r="BM35" i="5"/>
  <c r="R112" i="5"/>
  <c r="AX112" i="5"/>
  <c r="P107" i="5"/>
  <c r="BM67" i="5"/>
  <c r="W58" i="5"/>
  <c r="BM58" i="5"/>
  <c r="BM44" i="5"/>
  <c r="BM40" i="5"/>
  <c r="BM36" i="5"/>
  <c r="BM20" i="5"/>
  <c r="BR26" i="5"/>
  <c r="BM17" i="5"/>
  <c r="CH26" i="5" l="1"/>
  <c r="BR112" i="5"/>
  <c r="CH112" i="5" s="1"/>
  <c r="CH124" i="5" s="1"/>
  <c r="P112" i="5"/>
  <c r="BM112" i="5" s="1"/>
  <c r="BM120" i="5" s="1"/>
  <c r="BM107" i="5"/>
</calcChain>
</file>

<file path=xl/sharedStrings.xml><?xml version="1.0" encoding="utf-8"?>
<sst xmlns="http://schemas.openxmlformats.org/spreadsheetml/2006/main" count="403" uniqueCount="336">
  <si>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</si>
  <si>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</si>
  <si>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</si>
  <si>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</si>
  <si>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</si>
  <si>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</si>
  <si>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</si>
  <si>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інші субвенції</t>
  </si>
  <si>
    <t>на охорону і раціональне використання земель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</si>
  <si>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</si>
  <si>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</si>
  <si>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</si>
  <si>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</si>
  <si>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</si>
  <si>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</si>
  <si>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</si>
  <si>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</si>
  <si>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</si>
  <si>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</si>
  <si>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</si>
  <si>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</si>
  <si>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</si>
  <si>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</si>
  <si>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</si>
  <si>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</si>
  <si>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</si>
  <si>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</si>
  <si>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</si>
  <si>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</si>
  <si>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</si>
  <si>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</si>
  <si>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</si>
  <si>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</si>
  <si>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</si>
  <si>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</si>
  <si>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</si>
  <si>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</si>
  <si>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</si>
  <si>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</si>
  <si>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</si>
  <si>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</si>
  <si>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</si>
  <si>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</si>
  <si>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</si>
  <si>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</si>
  <si>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</si>
  <si>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</si>
  <si>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</si>
  <si>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</si>
  <si>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</si>
  <si>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</si>
  <si>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</si>
  <si>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</si>
  <si>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</si>
  <si>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</si>
  <si>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</si>
  <si>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</si>
  <si>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</si>
  <si>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</si>
  <si>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</si>
  <si>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</si>
  <si>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</si>
  <si>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</si>
  <si>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</si>
  <si>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</si>
  <si>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</si>
  <si>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</si>
  <si>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</si>
  <si>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</si>
  <si>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</si>
  <si>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</si>
  <si>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</si>
  <si>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</si>
  <si>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</si>
  <si>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</si>
  <si>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</si>
  <si>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</si>
  <si>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</si>
  <si>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</si>
  <si>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</si>
  <si>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</si>
  <si>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</si>
  <si>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</si>
  <si>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м. Покров</t>
  </si>
  <si>
    <t>Дніпровський р-н</t>
  </si>
  <si>
    <t>Реверсна дотація</t>
  </si>
  <si>
    <t>м. Дніпро</t>
  </si>
  <si>
    <t>субвенції</t>
  </si>
  <si>
    <t>КПКВК 3719110</t>
  </si>
  <si>
    <t>КПКВК 3719230</t>
  </si>
  <si>
    <t>КПКВК 3719210</t>
  </si>
  <si>
    <t>КПКВК 3719220</t>
  </si>
  <si>
    <t>КПКВК 3719250</t>
  </si>
  <si>
    <t>КПКВК 2819800</t>
  </si>
  <si>
    <t>КПКВК 0119770</t>
  </si>
  <si>
    <t>КПКВК 2419770</t>
  </si>
  <si>
    <t>на фінансування переможців обласного конкурсу проектів і програм розвитку місцевого самоврядування</t>
  </si>
  <si>
    <t>КПКВК 3719130</t>
  </si>
  <si>
    <t>на природоохоронні заходи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</si>
  <si>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</si>
  <si>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</si>
  <si>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</si>
  <si>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</si>
  <si>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</si>
  <si>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</si>
  <si>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</si>
  <si>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</si>
  <si>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</si>
  <si>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</si>
  <si>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</si>
  <si>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</si>
  <si>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</si>
  <si>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</si>
  <si>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</si>
  <si>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</si>
  <si>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</si>
  <si>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</si>
  <si>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</si>
  <si>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</si>
  <si>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</si>
  <si>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</si>
  <si>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</si>
  <si>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</si>
  <si>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</si>
  <si>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</si>
  <si>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</si>
  <si>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</si>
  <si>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</si>
  <si>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</si>
  <si>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</si>
  <si>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</si>
  <si>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</si>
  <si>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</si>
  <si>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</si>
  <si>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</si>
  <si>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</si>
  <si>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</si>
  <si>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</si>
  <si>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</si>
  <si>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</si>
  <si>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</si>
  <si>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</si>
  <si>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</si>
  <si>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</si>
  <si>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</si>
  <si>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</si>
  <si>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</si>
  <si>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</si>
  <si>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</si>
  <si>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</si>
  <si>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</si>
  <si>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</si>
  <si>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</si>
  <si>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</si>
  <si>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</si>
  <si>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</si>
  <si>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</si>
  <si>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</si>
  <si>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</si>
  <si>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</si>
  <si>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</si>
  <si>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</si>
  <si>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</si>
  <si>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</si>
  <si>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КПКВК 0719460</t>
  </si>
  <si>
    <t>КПКВК 0919270</t>
  </si>
  <si>
    <t>на виконання доручень виборців депутатами обласної ради у 2018 році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</si>
  <si>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</si>
  <si>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</si>
  <si>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</si>
  <si>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</si>
  <si>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</si>
  <si>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</si>
  <si>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</si>
  <si>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</si>
  <si>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</si>
  <si>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</si>
  <si>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</si>
  <si>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</si>
  <si>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</si>
  <si>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</si>
  <si>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КПКВК 0219620</t>
  </si>
  <si>
    <t>04554000000</t>
  </si>
  <si>
    <t>04556000000</t>
  </si>
  <si>
    <t>у тому числі</t>
  </si>
  <si>
    <t>КПКВК 2219800</t>
  </si>
  <si>
    <t>КПКВК 3719800</t>
  </si>
  <si>
    <t>на реалізацію заходів регіональної Програми забезпечення громадського порядку та громадської безпеки на території  Дніпропетровської області на період до 2020 року</t>
  </si>
  <si>
    <t>на реалізацію заходів програми впровадження державної політики органами виконавчої влади у Дніпропетровській області на 2016 – 2020 роки</t>
  </si>
  <si>
    <t>КФКД 41053700</t>
  </si>
  <si>
    <t>на співфінансування інвестиційних проектів</t>
  </si>
  <si>
    <t>Слобожанська селищна рада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</si>
  <si>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</si>
  <si>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КФКД 41053900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</si>
  <si>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</si>
  <si>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</si>
  <si>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</si>
  <si>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</si>
  <si>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</si>
  <si>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</si>
  <si>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>КФКД 41053500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</si>
  <si>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</si>
  <si>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Українська сільська рада </t>
  </si>
  <si>
    <t xml:space="preserve">Девладівська сільська рада </t>
  </si>
  <si>
    <t>КПКВК 0619320</t>
  </si>
  <si>
    <t>на оновлення матеріально-технічної бази</t>
  </si>
  <si>
    <t>на підтримку інклюзивної освіти</t>
  </si>
  <si>
    <t>на впровадження новітніх технологій</t>
  </si>
  <si>
    <t xml:space="preserve">  З НИХ               </t>
  </si>
  <si>
    <t>на оснащення закладів загальної середньої освіти з поглибленим/ профільним навчанням та опорних шкіл засобами навчання</t>
  </si>
  <si>
    <t>на придбання обладнання та витратних матеріалів для початкової школи</t>
  </si>
  <si>
    <t>на придбання обладнання для інноваційного навчально-тренінгового класу</t>
  </si>
  <si>
    <t>на придбання обладнання для створення умов для підготовки та проведення зовнішнього незалежного оцінювання з іноземних мов</t>
  </si>
  <si>
    <t>КФКД 41051500</t>
  </si>
  <si>
    <t>на здійснення переданих видатків у сфері охорони здоров’я за рахунок коштів медичної субвенції</t>
  </si>
  <si>
    <t>05100000000</t>
  </si>
  <si>
    <t>Обласний бюджет Донецької області</t>
  </si>
  <si>
    <t>КПКВК 0719770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</si>
  <si>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</si>
  <si>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</si>
  <si>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</si>
  <si>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</si>
  <si>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</si>
  <si>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КФКД 41053300</t>
  </si>
  <si>
    <t>11100000000</t>
  </si>
  <si>
    <t>Обласний бюджет Кіровоградської області</t>
  </si>
  <si>
    <t>КПКВК 0719410</t>
  </si>
  <si>
    <t>Першотравневська сільська рада</t>
  </si>
  <si>
    <t>04525000000</t>
  </si>
  <si>
    <t>Софіївська селищна рада</t>
  </si>
  <si>
    <t>КПКВК 3719150</t>
  </si>
  <si>
    <t>інші  дотаціі з місцевого бюджету</t>
  </si>
  <si>
    <t>КПКВК 3719570</t>
  </si>
  <si>
    <t>КПКВК 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</si>
  <si>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</si>
  <si>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04552000000</t>
  </si>
  <si>
    <t>Юр’ївська селищна рада</t>
  </si>
  <si>
    <t>КПКВК 0619770</t>
  </si>
  <si>
    <t>на створення ресурсних кімнат для дітей з особливими освітніми потребами, що потребують інклюзивної освіти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</si>
  <si>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</si>
  <si>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</si>
  <si>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</si>
  <si>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</si>
  <si>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</si>
  <si>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</si>
  <si>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>на придбання обладнання для  кабінетів української мови в закладах загальної середньої освіти з навчанням мовами національних меншин</t>
  </si>
  <si>
    <t>КПКВК 0619800</t>
  </si>
  <si>
    <t>на виконання програм соціально-економічного розвитку регіонів</t>
  </si>
  <si>
    <t xml:space="preserve">за рахунок залишку субвенції з державного бюджету місцевим бюджетам на здійснення заходів щодо соціально-економічного розвитку окремих територій </t>
  </si>
  <si>
    <t>КПКВК 1519770</t>
  </si>
  <si>
    <t>КПКВК 6819800</t>
  </si>
  <si>
    <t xml:space="preserve">на підготовку і проведення перших виборів депутатів сільських, селищних, міських рад і відповідних сільських, селищних, міських голів </t>
  </si>
  <si>
    <t>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сільських, селищних, міських рад і відповідних сільських, селищних, міських голів</t>
  </si>
  <si>
    <t>КПКВК 1219610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</si>
  <si>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</si>
  <si>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04547000000</t>
  </si>
  <si>
    <t>Ілларіонівська селищна рада</t>
  </si>
  <si>
    <r>
      <t xml:space="preserve">З НИХ       </t>
    </r>
    <r>
      <rPr>
        <i/>
        <sz val="40"/>
        <rFont val="Arial Cyr"/>
        <family val="2"/>
        <charset val="204"/>
      </rPr>
      <t xml:space="preserve">      </t>
    </r>
  </si>
  <si>
    <t>Обсяги міжбюджетних трансфертів, що передаються з інших місцевих бюджетів до обласного бюджету</t>
  </si>
  <si>
    <t xml:space="preserve">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 </t>
  </si>
  <si>
    <t>Петриківська селищна рада</t>
  </si>
  <si>
    <t>Додаток 4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</si>
  <si>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</si>
  <si>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на підготовку і проведення повторного голосування з перших виборів депутатів сільських, селищних рад </t>
  </si>
  <si>
    <t>на підтримку об’єднаних територіальних громад (впровадження енергозберігаючих технологій)</t>
  </si>
  <si>
    <t>на виконання заходів регіональної цільової соціальної програми „Освіта Дніпропетровщини до 2018 року”</t>
  </si>
  <si>
    <t>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</t>
  </si>
  <si>
    <t>на реалізацію заходів програми впровадження державної політики органами виконавчої влади у Дніпропетровській області
на 2016 – 2020 роки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</si>
  <si>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</si>
  <si>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</si>
  <si>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на капітальні видатки  та облаштування об’єктів соціально- культурної сфери</t>
  </si>
  <si>
    <t>на утримання об’єктів спільного користування чи ліквідацію негативних наслідків діяльності об’єктів спільного користування</t>
  </si>
  <si>
    <t>Обласному бюджету на придбання медикаментів, реагентів та витратних матеріалів для КЗ „Міжобласний центр медичної генетики і пренатальної діагностики імені П.М. Веропотвеляна” ДОР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</si>
  <si>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м. Дніпрі</t>
  </si>
  <si>
    <t>на виконання Програми виконання доручень виборців депутатами Дніпровської міської ради VII скликання
на 2016 – 2020 роки</t>
  </si>
  <si>
    <t>С. ОЛІЙНИК</t>
  </si>
  <si>
    <t xml:space="preserve">Перший заступник </t>
  </si>
  <si>
    <t xml:space="preserve">голови обласної ради </t>
  </si>
  <si>
    <t>на придбання предметів та матеріалів для ДПТНЗ "Марганецький професійний ліцей"</t>
  </si>
  <si>
    <t>КПКВК 0619330</t>
  </si>
  <si>
    <t>Обласному бюджету на утримання Криворізької філії КЗ "Дніпропетровська обласна клінічна офтальмологічна лікарня"</t>
  </si>
  <si>
    <t>045360000000</t>
  </si>
  <si>
    <t>Верхньодніпровська міська рада</t>
  </si>
  <si>
    <t>КФКД 41054100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</si>
  <si>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</si>
  <si>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Любимівська сільська рада</t>
  </si>
  <si>
    <t>Саксаганська сільська рада</t>
  </si>
  <si>
    <t>04553000000</t>
  </si>
  <si>
    <t>04555000000</t>
  </si>
  <si>
    <t>КПКВК 0619350</t>
  </si>
  <si>
    <t xml:space="preserve">  З НИХ       </t>
  </si>
  <si>
    <t>на придбання дидактичного матеріалу</t>
  </si>
  <si>
    <t>на придбання сучасних меблів для початкових класів</t>
  </si>
  <si>
    <t>на придбання комп'ютерного обладнання, відповідного мультимедійного контенту для початкових класів</t>
  </si>
  <si>
    <t xml:space="preserve">  З НИХ </t>
  </si>
  <si>
    <t>підтримка осіб з особливими освітніми потребами</t>
  </si>
  <si>
    <t>оснащення кабінетів інклюзивно- ресурсних центрів</t>
  </si>
  <si>
    <t>на розвиток дорожнього господарства</t>
  </si>
  <si>
    <t xml:space="preserve"> на надання державної підтримки особам з особливими освітніми потребами</t>
  </si>
  <si>
    <t xml:space="preserve"> на забезпечення якісної, сучасної та доступної загальної середньої освіти "Нова українська школа" </t>
  </si>
  <si>
    <t>Субвенція  за рахунок залишку коштів освітньої субвенції, що утворився на початок бюджетного періоду</t>
  </si>
  <si>
    <t>КПКВК 0819241</t>
  </si>
  <si>
    <t>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 за рахунок відповідної субвенції з державного бюджету</t>
  </si>
  <si>
    <t>на підвищення кваліфікації педагогічних працівників</t>
  </si>
  <si>
    <t>КПКВК  1219770</t>
  </si>
  <si>
    <t>КПКВК 2919800</t>
  </si>
  <si>
    <t>на реалізацію заходів Регіональної цільової соціальтної програми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2016-2020 роки</t>
  </si>
  <si>
    <t>до рішення обласної ради</t>
  </si>
  <si>
    <t>на соціально-економічний розвиток</t>
  </si>
  <si>
    <t>КПКВК 2919770</t>
  </si>
  <si>
    <t>Показники міжбюджетних трансфертів між обласним бюджетом та іншими бюджетами на 2018 рік</t>
  </si>
  <si>
    <t xml:space="preserve">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</si>
  <si>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</si>
  <si>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КПКВК 0819243</t>
  </si>
  <si>
    <t xml:space="preserve">Обсяги міжбюджетних трансфертів, що передаються з обласного бюджету до державного бюджету </t>
  </si>
  <si>
    <t>КПКВК 3719510</t>
  </si>
  <si>
    <t xml:space="preserve">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</si>
  <si>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</si>
  <si>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</si>
  <si>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 </t>
  </si>
  <si>
    <t xml:space="preserve">на проведення виборів депутатів місцевих рад та сільських, селищних, міських голів за рахунок відповідної субвенції з державного бюджету </t>
  </si>
  <si>
    <t xml:space="preserve">на здійснення заходів щодо соціально-економічного розвитку окремих територій за рахунок відповідної субвенції з державного бюджету </t>
  </si>
  <si>
    <t>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</t>
  </si>
  <si>
    <t xml:space="preserve">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</si>
  <si>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 капітальний ремонт об'єктів соціально-культурної сфери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</si>
  <si>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</si>
  <si>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623600-</t>
  </si>
  <si>
    <t>1064200-Рябова (98000+623600+225600+117000)</t>
  </si>
  <si>
    <t>Обласному бюджету на поточний ремонт санітарних автомобілів КЗ "Криворізька станція швидкої медичної допомоги"ДОР"</t>
  </si>
  <si>
    <t>КПКВК 0819242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</si>
  <si>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</si>
  <si>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КФКД 41052300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</si>
  <si>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</si>
  <si>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КФКД 41053600</t>
  </si>
  <si>
    <t>на здійснення природоохоронних заходів</t>
  </si>
  <si>
    <t>Обласному бюджету на поточний ремонт санітарних автомобілів КЗ "Обласний центр екстреної медичної допомоги та медицини катастроф"ДОР"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</si>
</sst>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0"/>
      <name val="Times New Roman"/>
      <family val="1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5"/>
      <name val="Times New Roman"/>
      <family val="1"/>
      <charset val="204"/>
    </font>
    <font>
      <sz val="40"/>
      <name val="Times New Roman"/>
      <family val="1"/>
      <charset val="204"/>
    </font>
    <font>
      <i/>
      <sz val="40"/>
      <name val="Times New Roman"/>
      <family val="1"/>
      <charset val="204"/>
    </font>
    <font>
      <i/>
      <sz val="40"/>
      <name val="Arial Cyr"/>
      <family val="2"/>
      <charset val="204"/>
    </font>
    <font>
      <sz val="39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name val="Arial Cyr"/>
      <family val="2"/>
      <charset val="204"/>
    </font>
    <font>
      <i/>
      <sz val="38"/>
      <name val="Times New Roman"/>
      <family val="1"/>
      <charset val="204"/>
    </font>
    <font>
      <sz val="38"/>
      <name val="Times New Roman"/>
      <family val="1"/>
      <charset val="204"/>
    </font>
    <font>
      <sz val="42"/>
      <name val="Arial Cyr"/>
      <family val="2"/>
      <charset val="204"/>
    </font>
    <font>
      <sz val="32"/>
      <name val="Times New Roman"/>
      <family val="1"/>
      <charset val="204"/>
    </font>
    <font>
      <i/>
      <sz val="3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</cellStyleXfs>
  <cellXfs count="16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1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4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6" fillId="0" borderId="0" xfId="0" applyFont="1" applyFill="1"/>
    <xf numFmtId="3" fontId="15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3" fontId="24" fillId="0" borderId="0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/>
    <xf numFmtId="0" fontId="18" fillId="0" borderId="0" xfId="0" applyFont="1" applyFill="1" applyBorder="1"/>
    <xf numFmtId="3" fontId="1" fillId="0" borderId="0" xfId="0" applyNumberFormat="1" applyFont="1" applyFill="1" applyBorder="1"/>
    <xf numFmtId="4" fontId="1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 applyProtection="1">
      <alignment vertical="center" wrapText="1"/>
    </xf>
    <xf numFmtId="0" fontId="10" fillId="0" borderId="6" xfId="0" applyFont="1" applyFill="1" applyBorder="1"/>
    <xf numFmtId="0" fontId="10" fillId="0" borderId="2" xfId="0" applyFont="1" applyFill="1" applyBorder="1"/>
    <xf numFmtId="4" fontId="20" fillId="0" borderId="0" xfId="0" applyNumberFormat="1" applyFont="1" applyFill="1" applyAlignment="1">
      <alignment horizontal="center"/>
    </xf>
    <xf numFmtId="4" fontId="13" fillId="0" borderId="5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 wrapText="1"/>
    </xf>
    <xf numFmtId="0" fontId="17" fillId="0" borderId="2" xfId="0" applyFont="1" applyFill="1" applyBorder="1"/>
    <xf numFmtId="0" fontId="17" fillId="0" borderId="6" xfId="0" applyFont="1" applyFill="1" applyBorder="1"/>
    <xf numFmtId="0" fontId="17" fillId="0" borderId="1" xfId="0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" fontId="22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9" xfId="0" applyNumberFormat="1" applyFont="1" applyFill="1" applyBorder="1" applyAlignment="1" applyProtection="1">
      <alignment vertical="center" wrapText="1"/>
    </xf>
    <xf numFmtId="4" fontId="20" fillId="0" borderId="10" xfId="0" applyNumberFormat="1" applyFont="1" applyFill="1" applyBorder="1" applyAlignment="1"/>
    <xf numFmtId="4" fontId="20" fillId="0" borderId="0" xfId="0" applyNumberFormat="1" applyFont="1" applyFill="1" applyBorder="1" applyAlignment="1"/>
    <xf numFmtId="0" fontId="24" fillId="0" borderId="0" xfId="0" applyFont="1" applyFill="1" applyBorder="1" applyAlignment="1">
      <alignment vertical="center"/>
    </xf>
    <xf numFmtId="0" fontId="24" fillId="0" borderId="0" xfId="0" applyFont="1" applyFill="1"/>
    <xf numFmtId="4" fontId="22" fillId="0" borderId="0" xfId="0" applyNumberFormat="1" applyFont="1" applyFill="1" applyBorder="1" applyAlignment="1">
      <alignment horizontal="right"/>
    </xf>
    <xf numFmtId="2" fontId="11" fillId="0" borderId="7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4" fontId="30" fillId="0" borderId="11" xfId="0" applyNumberFormat="1" applyFont="1" applyFill="1" applyBorder="1" applyAlignment="1">
      <alignment horizontal="right" vertical="top" wrapText="1"/>
    </xf>
    <xf numFmtId="0" fontId="31" fillId="0" borderId="2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/>
    </xf>
    <xf numFmtId="0" fontId="32" fillId="0" borderId="2" xfId="0" applyFont="1" applyFill="1" applyBorder="1" applyAlignment="1">
      <alignment vertical="center" wrapText="1"/>
    </xf>
    <xf numFmtId="0" fontId="33" fillId="0" borderId="2" xfId="0" applyFont="1" applyFill="1" applyBorder="1"/>
    <xf numFmtId="0" fontId="33" fillId="0" borderId="6" xfId="0" applyFont="1" applyFill="1" applyBorder="1"/>
    <xf numFmtId="0" fontId="33" fillId="0" borderId="1" xfId="0" applyFont="1" applyFill="1" applyBorder="1"/>
    <xf numFmtId="0" fontId="9" fillId="0" borderId="7" xfId="0" applyFont="1" applyFill="1" applyBorder="1" applyAlignment="1">
      <alignment vertical="center" wrapText="1"/>
    </xf>
    <xf numFmtId="0" fontId="36" fillId="0" borderId="6" xfId="0" applyFont="1" applyFill="1" applyBorder="1"/>
    <xf numFmtId="0" fontId="36" fillId="0" borderId="1" xfId="0" applyFont="1" applyFill="1" applyBorder="1"/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wrapText="1"/>
    </xf>
    <xf numFmtId="0" fontId="10" fillId="0" borderId="17" xfId="0" applyFont="1" applyFill="1" applyBorder="1"/>
    <xf numFmtId="0" fontId="37" fillId="0" borderId="2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4" fontId="22" fillId="0" borderId="9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left" wrapText="1"/>
    </xf>
    <xf numFmtId="0" fontId="32" fillId="0" borderId="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66"/>
  <sheetViews>
    <sheetView showZeros="0" tabSelected="1" view="pageBreakPreview" zoomScale="20" zoomScaleNormal="25" zoomScaleSheetLayoutView="20" workbookViewId="0">
      <pane xSplit="2" ySplit="12" topLeftCell="BW43" activePane="bottomRight" state="frozen"/>
      <selection pane="topRight" activeCell="C1" sqref="C1"/>
      <selection pane="bottomLeft" activeCell="A14" sqref="A14"/>
      <selection pane="bottomRight" activeCell="CA121" sqref="CA121"/>
    </sheetView>
  </sheetViews>
  <sheetFormatPr defaultRowHeight="12.75" x14ac:dyDescent="0.2"/>
  <cols>
    <col min="1" max="1" width="52.28515625" style="2" customWidth="1"/>
    <col min="2" max="2" width="171" style="2" customWidth="1"/>
    <col min="3" max="3" width="139.42578125" style="2" customWidth="1"/>
    <col min="4" max="4" width="103.7109375" style="2" customWidth="1"/>
    <col min="5" max="5" width="255.7109375" style="2" customWidth="1"/>
    <col min="6" max="6" width="142.5703125" style="2" customWidth="1"/>
    <col min="7" max="7" width="76.140625" style="2" customWidth="1"/>
    <col min="8" max="8" width="194.28515625" style="2" customWidth="1"/>
    <col min="9" max="9" width="93.5703125" style="2" customWidth="1"/>
    <col min="10" max="10" width="79.28515625" style="2" customWidth="1"/>
    <col min="11" max="11" width="73.5703125" style="2" customWidth="1"/>
    <col min="12" max="12" width="63.5703125" style="2" customWidth="1"/>
    <col min="13" max="13" width="77.140625" style="2" customWidth="1"/>
    <col min="14" max="14" width="113.5703125" style="2" customWidth="1"/>
    <col min="15" max="15" width="78.5703125" style="2" customWidth="1"/>
    <col min="16" max="16" width="77.140625" style="2" customWidth="1"/>
    <col min="17" max="17" width="85" style="2" customWidth="1"/>
    <col min="18" max="18" width="222.85546875" style="2" customWidth="1"/>
    <col min="19" max="19" width="215" style="2" customWidth="1"/>
    <col min="20" max="20" width="255.7109375" style="2" customWidth="1"/>
    <col min="21" max="21" width="134.28515625" style="2" customWidth="1"/>
    <col min="22" max="22" width="255.7109375" style="2" customWidth="1"/>
    <col min="23" max="23" width="82.140625" style="2" customWidth="1"/>
    <col min="24" max="24" width="54.28515625" style="2" customWidth="1"/>
    <col min="25" max="25" width="66.42578125" style="2" customWidth="1"/>
    <col min="26" max="26" width="57.140625" style="2" customWidth="1"/>
    <col min="27" max="27" width="53.5703125" style="2" customWidth="1"/>
    <col min="28" max="28" width="72.85546875" style="2" customWidth="1"/>
    <col min="29" max="29" width="62.140625" style="2" customWidth="1"/>
    <col min="30" max="30" width="61.42578125" style="2" customWidth="1"/>
    <col min="31" max="31" width="82.140625" style="2" customWidth="1"/>
    <col min="32" max="32" width="66.42578125" style="2" customWidth="1"/>
    <col min="33" max="33" width="56.42578125" style="2" customWidth="1"/>
    <col min="34" max="34" width="84.28515625" style="2" customWidth="1"/>
    <col min="35" max="38" width="75.7109375" style="2" customWidth="1"/>
    <col min="39" max="40" width="68.5703125" style="2" customWidth="1"/>
    <col min="41" max="41" width="101.85546875" style="2" customWidth="1"/>
    <col min="42" max="42" width="81.85546875" style="2" customWidth="1"/>
    <col min="43" max="43" width="77.140625" style="2" customWidth="1"/>
    <col min="44" max="44" width="57.28515625" style="2" customWidth="1"/>
    <col min="45" max="45" width="54.7109375" style="2" customWidth="1"/>
    <col min="46" max="46" width="78.28515625" style="2" customWidth="1"/>
    <col min="47" max="47" width="76.85546875" style="2" customWidth="1"/>
    <col min="48" max="48" width="87.5703125" style="2" customWidth="1"/>
    <col min="49" max="49" width="67.85546875" style="2" customWidth="1"/>
    <col min="50" max="50" width="63" style="2" customWidth="1"/>
    <col min="51" max="51" width="65" style="2" customWidth="1"/>
    <col min="52" max="52" width="84.85546875" style="2" customWidth="1"/>
    <col min="53" max="56" width="87.140625" style="2" customWidth="1"/>
    <col min="57" max="57" width="71.42578125" style="2" customWidth="1"/>
    <col min="58" max="58" width="88.5703125" style="2" customWidth="1"/>
    <col min="59" max="59" width="137.85546875" style="2" customWidth="1"/>
    <col min="60" max="60" width="67.85546875" style="2" customWidth="1"/>
    <col min="61" max="61" width="70" style="2" customWidth="1"/>
    <col min="62" max="62" width="67.140625" style="2" customWidth="1"/>
    <col min="63" max="63" width="65.7109375" style="2" customWidth="1"/>
    <col min="64" max="64" width="69.28515625" style="2" customWidth="1"/>
    <col min="65" max="65" width="75.42578125" style="2" customWidth="1"/>
    <col min="66" max="67" width="83.28515625" style="2" customWidth="1"/>
    <col min="68" max="68" width="88.28515625" style="2" customWidth="1"/>
    <col min="69" max="70" width="58.42578125" style="2" customWidth="1"/>
    <col min="71" max="71" width="72" style="2" customWidth="1"/>
    <col min="72" max="72" width="70.5703125" style="2" customWidth="1"/>
    <col min="73" max="73" width="109.85546875" style="2" customWidth="1"/>
    <col min="74" max="74" width="108.42578125" style="2" customWidth="1"/>
    <col min="75" max="75" width="100.5703125" style="2" customWidth="1"/>
    <col min="76" max="76" width="80.5703125" style="2" customWidth="1"/>
    <col min="77" max="79" width="86.28515625" style="2" customWidth="1"/>
    <col min="80" max="81" width="61.28515625" style="2" customWidth="1"/>
    <col min="82" max="82" width="93.42578125" style="2" customWidth="1"/>
    <col min="83" max="84" width="83.42578125" style="2" customWidth="1"/>
    <col min="85" max="85" width="89.140625" style="2" customWidth="1"/>
    <col min="86" max="86" width="84.85546875" style="2" customWidth="1"/>
    <col min="87" max="87" width="87" style="2" customWidth="1"/>
    <col min="88" max="16384" width="9.140625" style="2"/>
  </cols>
  <sheetData>
    <row r="1" spans="1:88" ht="55.5" customHeight="1" x14ac:dyDescent="0.95">
      <c r="A1" s="1"/>
      <c r="B1" s="1"/>
      <c r="C1" s="47"/>
      <c r="D1" s="47"/>
      <c r="E1" s="26"/>
      <c r="F1" s="111" t="s">
        <v>261</v>
      </c>
      <c r="G1" s="111"/>
      <c r="H1" s="31"/>
      <c r="I1" s="31"/>
      <c r="J1" s="31"/>
      <c r="K1" s="31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Q1" s="35"/>
      <c r="AW1" s="3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88" ht="46.5" customHeight="1" x14ac:dyDescent="0.95">
      <c r="A2" s="1"/>
      <c r="B2" s="1"/>
      <c r="C2" s="47"/>
      <c r="D2" s="47"/>
      <c r="E2" s="26"/>
      <c r="F2" s="111" t="s">
        <v>307</v>
      </c>
      <c r="G2" s="111"/>
      <c r="H2" s="26"/>
      <c r="I2" s="26"/>
      <c r="J2" s="26"/>
      <c r="K2" s="51"/>
      <c r="L2" s="51"/>
      <c r="M2" s="51"/>
      <c r="N2" s="52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51"/>
      <c r="AF2" s="51"/>
      <c r="AG2" s="51"/>
      <c r="AH2" s="35"/>
      <c r="AI2" s="35"/>
      <c r="AJ2" s="35"/>
      <c r="AK2" s="35"/>
      <c r="AL2" s="35"/>
      <c r="AM2" s="35"/>
      <c r="AN2" s="35"/>
      <c r="AQ2" s="35"/>
      <c r="AW2" s="35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88" ht="87.75" customHeight="1" x14ac:dyDescent="0.95">
      <c r="A3" s="1"/>
      <c r="B3" s="1"/>
      <c r="C3" s="114" t="s">
        <v>310</v>
      </c>
      <c r="D3" s="114"/>
      <c r="E3" s="114"/>
      <c r="F3" s="114"/>
      <c r="G3" s="54"/>
      <c r="H3" s="26"/>
      <c r="I3" s="26"/>
      <c r="J3" s="26"/>
      <c r="K3" s="51"/>
      <c r="L3" s="51"/>
      <c r="M3" s="51"/>
      <c r="N3" s="52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51"/>
      <c r="AF3" s="51"/>
      <c r="AG3" s="51"/>
      <c r="AH3" s="35"/>
      <c r="AI3" s="35"/>
      <c r="AJ3" s="35"/>
      <c r="AK3" s="35"/>
      <c r="AL3" s="35"/>
      <c r="AM3" s="35"/>
      <c r="AN3" s="35"/>
      <c r="AQ3" s="35"/>
      <c r="AW3" s="3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CH3" s="41"/>
    </row>
    <row r="4" spans="1:88" ht="45" customHeight="1" x14ac:dyDescent="0.95">
      <c r="A4" s="6"/>
      <c r="C4" s="112" t="s">
        <v>0</v>
      </c>
      <c r="D4" s="112"/>
      <c r="E4" s="112"/>
      <c r="F4" s="112"/>
      <c r="G4" s="113"/>
      <c r="H4" s="53"/>
      <c r="I4" s="54"/>
      <c r="J4" s="54"/>
      <c r="K4" s="54"/>
      <c r="L4" s="54"/>
      <c r="M4" s="54"/>
      <c r="N4" s="48" t="s">
        <v>0</v>
      </c>
      <c r="O4" s="38"/>
      <c r="P4" s="38"/>
      <c r="Q4" s="31"/>
      <c r="S4" s="48" t="s">
        <v>0</v>
      </c>
      <c r="T4" s="31"/>
      <c r="U4" s="31"/>
      <c r="V4" s="40" t="s">
        <v>0</v>
      </c>
      <c r="W4" s="31"/>
      <c r="X4" s="31"/>
      <c r="Y4" s="31"/>
      <c r="Z4" s="31"/>
      <c r="AA4" s="31"/>
      <c r="AB4" s="31"/>
      <c r="AC4" s="31"/>
      <c r="AE4" s="57"/>
      <c r="AF4" s="57"/>
      <c r="AG4" s="40" t="s">
        <v>0</v>
      </c>
      <c r="AH4" s="40"/>
      <c r="AI4" s="40"/>
      <c r="AJ4" s="40"/>
      <c r="AK4" s="40"/>
      <c r="AM4" s="31"/>
      <c r="AN4" s="31"/>
      <c r="AO4" s="7"/>
      <c r="AP4" s="40" t="s">
        <v>0</v>
      </c>
      <c r="AQ4" s="31"/>
      <c r="AR4" s="7"/>
      <c r="AS4" s="7"/>
      <c r="AT4" s="7"/>
      <c r="AU4" s="7"/>
      <c r="AV4" s="7"/>
      <c r="AX4" s="5"/>
      <c r="AY4" s="5"/>
      <c r="AZ4" s="40" t="s">
        <v>0</v>
      </c>
      <c r="BA4" s="5"/>
      <c r="BC4" s="5"/>
      <c r="BE4" s="41"/>
      <c r="BG4" s="5"/>
      <c r="BH4" s="41" t="s">
        <v>0</v>
      </c>
      <c r="BI4" s="5"/>
      <c r="BJ4" s="5"/>
      <c r="BK4" s="41"/>
      <c r="BL4" s="41"/>
      <c r="BP4" s="4"/>
      <c r="BR4" s="41" t="s">
        <v>0</v>
      </c>
      <c r="BS4" s="41"/>
      <c r="BZ4" s="41" t="s">
        <v>0</v>
      </c>
      <c r="CH4" s="41" t="s">
        <v>0</v>
      </c>
    </row>
    <row r="5" spans="1:88" s="9" customFormat="1" ht="18.75" customHeight="1" x14ac:dyDescent="1">
      <c r="A5" s="8"/>
      <c r="B5" s="8"/>
      <c r="C5" s="49"/>
      <c r="D5" s="49"/>
      <c r="E5" s="85"/>
      <c r="F5" s="49"/>
      <c r="G5" s="50"/>
      <c r="H5" s="71"/>
      <c r="I5" s="72"/>
      <c r="J5" s="72"/>
      <c r="K5" s="73"/>
      <c r="L5" s="72"/>
      <c r="M5" s="72"/>
      <c r="N5" s="74"/>
      <c r="O5" s="8"/>
      <c r="P5" s="8"/>
      <c r="Q5" s="8"/>
      <c r="R5" s="8"/>
      <c r="S5" s="8"/>
      <c r="T5" s="8"/>
      <c r="U5" s="8"/>
      <c r="V5" s="8"/>
      <c r="AD5" s="8"/>
      <c r="AE5" s="49"/>
      <c r="AF5" s="49"/>
      <c r="AG5" s="49"/>
      <c r="AH5" s="8"/>
      <c r="AI5" s="8"/>
      <c r="AJ5" s="8"/>
      <c r="AK5" s="8"/>
      <c r="AL5" s="8"/>
      <c r="AM5" s="8"/>
      <c r="AO5" s="8"/>
      <c r="AP5" s="8"/>
      <c r="AR5" s="8"/>
      <c r="AS5" s="8"/>
      <c r="AT5" s="8"/>
      <c r="AU5" s="8"/>
      <c r="AV5" s="8"/>
      <c r="AW5" s="8"/>
      <c r="AX5" s="8"/>
      <c r="AZ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CH5" s="8"/>
    </row>
    <row r="6" spans="1:88" s="70" customFormat="1" ht="138.75" customHeight="1" x14ac:dyDescent="0.7">
      <c r="A6" s="102" t="s">
        <v>1</v>
      </c>
      <c r="B6" s="102" t="s">
        <v>48</v>
      </c>
      <c r="C6" s="83" t="s">
        <v>314</v>
      </c>
      <c r="D6" s="98" t="s">
        <v>81</v>
      </c>
      <c r="E6" s="98"/>
      <c r="F6" s="98"/>
      <c r="G6" s="99"/>
      <c r="H6" s="97" t="s">
        <v>81</v>
      </c>
      <c r="I6" s="98"/>
      <c r="J6" s="98"/>
      <c r="K6" s="98"/>
      <c r="L6" s="98"/>
      <c r="M6" s="98"/>
      <c r="N6" s="99"/>
      <c r="O6" s="97" t="s">
        <v>81</v>
      </c>
      <c r="P6" s="98"/>
      <c r="Q6" s="98"/>
      <c r="R6" s="98"/>
      <c r="S6" s="99"/>
      <c r="T6" s="96" t="s">
        <v>81</v>
      </c>
      <c r="U6" s="96"/>
      <c r="V6" s="96"/>
      <c r="W6" s="96" t="s">
        <v>81</v>
      </c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7" t="s">
        <v>81</v>
      </c>
      <c r="AI6" s="98"/>
      <c r="AJ6" s="98"/>
      <c r="AK6" s="98"/>
      <c r="AL6" s="99"/>
      <c r="AM6" s="97" t="s">
        <v>2</v>
      </c>
      <c r="AN6" s="98"/>
      <c r="AO6" s="98"/>
      <c r="AP6" s="99"/>
      <c r="AQ6" s="97" t="s">
        <v>2</v>
      </c>
      <c r="AR6" s="98"/>
      <c r="AS6" s="98"/>
      <c r="AT6" s="98"/>
      <c r="AU6" s="98"/>
      <c r="AV6" s="98"/>
      <c r="AW6" s="99"/>
      <c r="AX6" s="96" t="s">
        <v>47</v>
      </c>
      <c r="AY6" s="96"/>
      <c r="AZ6" s="96"/>
      <c r="BA6" s="96" t="s">
        <v>47</v>
      </c>
      <c r="BB6" s="96"/>
      <c r="BC6" s="96"/>
      <c r="BD6" s="96"/>
      <c r="BE6" s="96"/>
      <c r="BF6" s="96"/>
      <c r="BG6" s="96"/>
      <c r="BH6" s="96"/>
      <c r="BI6" s="97" t="s">
        <v>47</v>
      </c>
      <c r="BJ6" s="98"/>
      <c r="BK6" s="98"/>
      <c r="BL6" s="99"/>
      <c r="BM6" s="102" t="s">
        <v>3</v>
      </c>
      <c r="BN6" s="96" t="s">
        <v>258</v>
      </c>
      <c r="BO6" s="96"/>
      <c r="BP6" s="96"/>
      <c r="BQ6" s="96"/>
      <c r="BR6" s="96"/>
      <c r="BS6" s="97" t="s">
        <v>258</v>
      </c>
      <c r="BT6" s="98"/>
      <c r="BU6" s="98"/>
      <c r="BV6" s="98"/>
      <c r="BW6" s="98"/>
      <c r="BX6" s="98"/>
      <c r="BY6" s="98"/>
      <c r="BZ6" s="99"/>
      <c r="CA6" s="97" t="s">
        <v>258</v>
      </c>
      <c r="CB6" s="98"/>
      <c r="CC6" s="98"/>
      <c r="CD6" s="98"/>
      <c r="CE6" s="98"/>
      <c r="CF6" s="98"/>
      <c r="CG6" s="99"/>
      <c r="CH6" s="96" t="s">
        <v>3</v>
      </c>
      <c r="CI6" s="68"/>
      <c r="CJ6" s="69"/>
    </row>
    <row r="7" spans="1:88" s="10" customFormat="1" ht="57.75" customHeight="1" x14ac:dyDescent="0.2">
      <c r="A7" s="102"/>
      <c r="B7" s="102"/>
      <c r="C7" s="103" t="s">
        <v>4</v>
      </c>
      <c r="D7" s="104"/>
      <c r="E7" s="104"/>
      <c r="F7" s="104"/>
      <c r="G7" s="105"/>
      <c r="H7" s="103" t="s">
        <v>4</v>
      </c>
      <c r="I7" s="104"/>
      <c r="J7" s="104"/>
      <c r="K7" s="104"/>
      <c r="L7" s="104"/>
      <c r="M7" s="104"/>
      <c r="N7" s="105"/>
      <c r="O7" s="97" t="s">
        <v>4</v>
      </c>
      <c r="P7" s="98"/>
      <c r="Q7" s="98"/>
      <c r="R7" s="98"/>
      <c r="S7" s="99"/>
      <c r="T7" s="97" t="s">
        <v>4</v>
      </c>
      <c r="U7" s="98"/>
      <c r="V7" s="80" t="s">
        <v>5</v>
      </c>
      <c r="W7" s="82"/>
      <c r="X7" s="75" t="s">
        <v>4</v>
      </c>
      <c r="Y7" s="145" t="s">
        <v>5</v>
      </c>
      <c r="Z7" s="146"/>
      <c r="AA7" s="146"/>
      <c r="AB7" s="146"/>
      <c r="AC7" s="146"/>
      <c r="AD7" s="147"/>
      <c r="AE7" s="78"/>
      <c r="AF7" s="102" t="s">
        <v>4</v>
      </c>
      <c r="AG7" s="102"/>
      <c r="AH7" s="103" t="s">
        <v>4</v>
      </c>
      <c r="AI7" s="104"/>
      <c r="AJ7" s="104"/>
      <c r="AK7" s="104"/>
      <c r="AL7" s="105"/>
      <c r="AM7" s="103" t="s">
        <v>4</v>
      </c>
      <c r="AN7" s="104"/>
      <c r="AO7" s="104"/>
      <c r="AP7" s="105"/>
      <c r="AQ7" s="103" t="s">
        <v>5</v>
      </c>
      <c r="AR7" s="104"/>
      <c r="AS7" s="104"/>
      <c r="AT7" s="104"/>
      <c r="AU7" s="104"/>
      <c r="AV7" s="104"/>
      <c r="AW7" s="105"/>
      <c r="AX7" s="103" t="s">
        <v>4</v>
      </c>
      <c r="AY7" s="104"/>
      <c r="AZ7" s="104"/>
      <c r="BA7" s="150" t="s">
        <v>4</v>
      </c>
      <c r="BB7" s="150"/>
      <c r="BC7" s="150"/>
      <c r="BD7" s="150"/>
      <c r="BE7" s="150"/>
      <c r="BF7" s="151"/>
      <c r="BG7" s="156" t="s">
        <v>5</v>
      </c>
      <c r="BH7" s="151"/>
      <c r="BI7" s="103" t="s">
        <v>5</v>
      </c>
      <c r="BJ7" s="104"/>
      <c r="BK7" s="104"/>
      <c r="BL7" s="105"/>
      <c r="BM7" s="102"/>
      <c r="BN7" s="102" t="s">
        <v>4</v>
      </c>
      <c r="BO7" s="102"/>
      <c r="BP7" s="102"/>
      <c r="BQ7" s="102"/>
      <c r="BR7" s="79" t="s">
        <v>5</v>
      </c>
      <c r="BS7" s="103" t="s">
        <v>5</v>
      </c>
      <c r="BT7" s="105"/>
      <c r="BU7" s="103" t="s">
        <v>4</v>
      </c>
      <c r="BV7" s="104"/>
      <c r="BW7" s="104"/>
      <c r="BX7" s="104"/>
      <c r="BY7" s="104"/>
      <c r="BZ7" s="104"/>
      <c r="CA7" s="104" t="s">
        <v>4</v>
      </c>
      <c r="CB7" s="105"/>
      <c r="CC7" s="103" t="s">
        <v>5</v>
      </c>
      <c r="CD7" s="104"/>
      <c r="CE7" s="104"/>
      <c r="CF7" s="104"/>
      <c r="CG7" s="105"/>
      <c r="CH7" s="96"/>
      <c r="CI7" s="37"/>
      <c r="CJ7" s="36"/>
    </row>
    <row r="8" spans="1:88" s="67" customFormat="1" ht="42" customHeight="1" x14ac:dyDescent="0.65">
      <c r="A8" s="102"/>
      <c r="B8" s="102"/>
      <c r="C8" s="61"/>
      <c r="D8" s="62"/>
      <c r="E8" s="106" t="s">
        <v>6</v>
      </c>
      <c r="F8" s="107"/>
      <c r="G8" s="108"/>
      <c r="H8" s="63" t="s">
        <v>6</v>
      </c>
      <c r="I8" s="110" t="s">
        <v>87</v>
      </c>
      <c r="J8" s="107"/>
      <c r="K8" s="107"/>
      <c r="L8" s="107"/>
      <c r="M8" s="107"/>
      <c r="N8" s="108"/>
      <c r="O8" s="97" t="s">
        <v>87</v>
      </c>
      <c r="P8" s="98"/>
      <c r="Q8" s="98"/>
      <c r="R8" s="98"/>
      <c r="S8" s="99"/>
      <c r="T8" s="97" t="s">
        <v>87</v>
      </c>
      <c r="U8" s="98"/>
      <c r="V8" s="99"/>
      <c r="W8" s="141" t="s">
        <v>87</v>
      </c>
      <c r="X8" s="142"/>
      <c r="Y8" s="142"/>
      <c r="Z8" s="142"/>
      <c r="AA8" s="142"/>
      <c r="AB8" s="142"/>
      <c r="AC8" s="142"/>
      <c r="AD8" s="142"/>
      <c r="AE8" s="142"/>
      <c r="AF8" s="142"/>
      <c r="AG8" s="143"/>
      <c r="AH8" s="106" t="s">
        <v>87</v>
      </c>
      <c r="AI8" s="107"/>
      <c r="AJ8" s="107"/>
      <c r="AK8" s="107"/>
      <c r="AL8" s="108"/>
      <c r="AM8" s="106" t="s">
        <v>247</v>
      </c>
      <c r="AN8" s="107"/>
      <c r="AO8" s="107"/>
      <c r="AP8" s="108"/>
      <c r="AQ8" s="106" t="s">
        <v>247</v>
      </c>
      <c r="AR8" s="107"/>
      <c r="AS8" s="107"/>
      <c r="AT8" s="107"/>
      <c r="AU8" s="107"/>
      <c r="AV8" s="107"/>
      <c r="AW8" s="108"/>
      <c r="AX8" s="64"/>
      <c r="AY8" s="106" t="s">
        <v>7</v>
      </c>
      <c r="AZ8" s="107"/>
      <c r="BA8" s="152" t="s">
        <v>7</v>
      </c>
      <c r="BB8" s="152"/>
      <c r="BC8" s="152"/>
      <c r="BD8" s="152"/>
      <c r="BE8" s="152"/>
      <c r="BF8" s="152"/>
      <c r="BG8" s="152"/>
      <c r="BH8" s="152"/>
      <c r="BI8" s="106" t="s">
        <v>7</v>
      </c>
      <c r="BJ8" s="107"/>
      <c r="BK8" s="107"/>
      <c r="BL8" s="108"/>
      <c r="BM8" s="102"/>
      <c r="BN8" s="159" t="s">
        <v>87</v>
      </c>
      <c r="BO8" s="160"/>
      <c r="BP8" s="160"/>
      <c r="BQ8" s="160"/>
      <c r="BR8" s="160"/>
      <c r="BS8" s="106" t="s">
        <v>87</v>
      </c>
      <c r="BT8" s="108"/>
      <c r="BU8" s="159" t="s">
        <v>7</v>
      </c>
      <c r="BV8" s="160"/>
      <c r="BW8" s="160"/>
      <c r="BX8" s="160"/>
      <c r="BY8" s="160"/>
      <c r="BZ8" s="160"/>
      <c r="CA8" s="159" t="s">
        <v>7</v>
      </c>
      <c r="CB8" s="160"/>
      <c r="CC8" s="160"/>
      <c r="CD8" s="160"/>
      <c r="CE8" s="160"/>
      <c r="CF8" s="160"/>
      <c r="CG8" s="161"/>
      <c r="CH8" s="96"/>
      <c r="CI8" s="65"/>
      <c r="CJ8" s="66"/>
    </row>
    <row r="9" spans="1:88" s="10" customFormat="1" ht="54.75" customHeight="1" x14ac:dyDescent="0.2">
      <c r="A9" s="102"/>
      <c r="B9" s="102"/>
      <c r="C9" s="11" t="s">
        <v>88</v>
      </c>
      <c r="D9" s="11" t="s">
        <v>97</v>
      </c>
      <c r="E9" s="11" t="s">
        <v>89</v>
      </c>
      <c r="F9" s="11" t="s">
        <v>90</v>
      </c>
      <c r="G9" s="11" t="s">
        <v>91</v>
      </c>
      <c r="H9" s="11" t="s">
        <v>92</v>
      </c>
      <c r="I9" s="11" t="s">
        <v>315</v>
      </c>
      <c r="J9" s="11" t="s">
        <v>232</v>
      </c>
      <c r="K9" s="93" t="s">
        <v>181</v>
      </c>
      <c r="L9" s="94"/>
      <c r="M9" s="94"/>
      <c r="N9" s="95"/>
      <c r="O9" s="11" t="s">
        <v>226</v>
      </c>
      <c r="P9" s="11" t="s">
        <v>233</v>
      </c>
      <c r="Q9" s="11" t="s">
        <v>164</v>
      </c>
      <c r="R9" s="11" t="s">
        <v>301</v>
      </c>
      <c r="S9" s="11" t="s">
        <v>329</v>
      </c>
      <c r="T9" s="11" t="s">
        <v>313</v>
      </c>
      <c r="U9" s="11" t="s">
        <v>165</v>
      </c>
      <c r="V9" s="11" t="s">
        <v>253</v>
      </c>
      <c r="W9" s="144" t="s">
        <v>204</v>
      </c>
      <c r="X9" s="144"/>
      <c r="Y9" s="144"/>
      <c r="Z9" s="144"/>
      <c r="AA9" s="144"/>
      <c r="AB9" s="144"/>
      <c r="AC9" s="144"/>
      <c r="AD9" s="144"/>
      <c r="AE9" s="93" t="s">
        <v>279</v>
      </c>
      <c r="AF9" s="94"/>
      <c r="AG9" s="95"/>
      <c r="AH9" s="93" t="s">
        <v>289</v>
      </c>
      <c r="AI9" s="94"/>
      <c r="AJ9" s="94"/>
      <c r="AK9" s="94"/>
      <c r="AL9" s="95"/>
      <c r="AM9" s="46" t="s">
        <v>246</v>
      </c>
      <c r="AN9" s="46" t="s">
        <v>186</v>
      </c>
      <c r="AO9" s="11" t="s">
        <v>250</v>
      </c>
      <c r="AP9" s="46" t="s">
        <v>185</v>
      </c>
      <c r="AQ9" s="46" t="s">
        <v>185</v>
      </c>
      <c r="AR9" s="93" t="s">
        <v>93</v>
      </c>
      <c r="AS9" s="94"/>
      <c r="AT9" s="94"/>
      <c r="AU9" s="95"/>
      <c r="AV9" s="45" t="s">
        <v>305</v>
      </c>
      <c r="AW9" s="11" t="s">
        <v>186</v>
      </c>
      <c r="AX9" s="11" t="s">
        <v>230</v>
      </c>
      <c r="AY9" s="93" t="s">
        <v>94</v>
      </c>
      <c r="AZ9" s="94"/>
      <c r="BA9" s="93" t="s">
        <v>237</v>
      </c>
      <c r="BB9" s="94"/>
      <c r="BC9" s="95"/>
      <c r="BD9" s="11" t="s">
        <v>217</v>
      </c>
      <c r="BE9" s="45" t="s">
        <v>304</v>
      </c>
      <c r="BF9" s="45" t="s">
        <v>95</v>
      </c>
      <c r="BG9" s="93" t="s">
        <v>94</v>
      </c>
      <c r="BH9" s="95"/>
      <c r="BI9" s="45" t="s">
        <v>237</v>
      </c>
      <c r="BJ9" s="11" t="s">
        <v>217</v>
      </c>
      <c r="BK9" s="11" t="s">
        <v>249</v>
      </c>
      <c r="BL9" s="11" t="s">
        <v>309</v>
      </c>
      <c r="BM9" s="102"/>
      <c r="BN9" s="11" t="s">
        <v>213</v>
      </c>
      <c r="BO9" s="11" t="s">
        <v>331</v>
      </c>
      <c r="BP9" s="11" t="s">
        <v>223</v>
      </c>
      <c r="BQ9" s="101" t="s">
        <v>200</v>
      </c>
      <c r="BR9" s="101"/>
      <c r="BS9" s="86" t="s">
        <v>333</v>
      </c>
      <c r="BT9" s="11" t="s">
        <v>189</v>
      </c>
      <c r="BU9" s="101" t="s">
        <v>193</v>
      </c>
      <c r="BV9" s="101"/>
      <c r="BW9" s="153" t="s">
        <v>193</v>
      </c>
      <c r="BX9" s="154"/>
      <c r="BY9" s="154"/>
      <c r="BZ9" s="154"/>
      <c r="CA9" s="154" t="s">
        <v>193</v>
      </c>
      <c r="CB9" s="154"/>
      <c r="CC9" s="155"/>
      <c r="CD9" s="153" t="s">
        <v>193</v>
      </c>
      <c r="CE9" s="154"/>
      <c r="CF9" s="155"/>
      <c r="CG9" s="58" t="s">
        <v>283</v>
      </c>
      <c r="CH9" s="96"/>
      <c r="CI9" s="37"/>
      <c r="CJ9" s="36"/>
    </row>
    <row r="10" spans="1:88" s="44" customFormat="1" ht="63" customHeight="1" x14ac:dyDescent="0.65">
      <c r="A10" s="102"/>
      <c r="B10" s="102"/>
      <c r="C10" s="100" t="s">
        <v>85</v>
      </c>
      <c r="D10" s="90" t="s">
        <v>262</v>
      </c>
      <c r="E10" s="90" t="s">
        <v>316</v>
      </c>
      <c r="F10" s="100" t="s">
        <v>317</v>
      </c>
      <c r="G10" s="100" t="s">
        <v>318</v>
      </c>
      <c r="H10" s="100" t="s">
        <v>319</v>
      </c>
      <c r="I10" s="90" t="s">
        <v>321</v>
      </c>
      <c r="J10" s="90" t="s">
        <v>259</v>
      </c>
      <c r="K10" s="100" t="s">
        <v>320</v>
      </c>
      <c r="L10" s="123" t="s">
        <v>257</v>
      </c>
      <c r="M10" s="124"/>
      <c r="N10" s="125"/>
      <c r="O10" s="90" t="s">
        <v>214</v>
      </c>
      <c r="P10" s="90" t="s">
        <v>234</v>
      </c>
      <c r="Q10" s="100" t="s">
        <v>325</v>
      </c>
      <c r="R10" s="120" t="s">
        <v>302</v>
      </c>
      <c r="S10" s="120" t="s">
        <v>330</v>
      </c>
      <c r="T10" s="115" t="s">
        <v>312</v>
      </c>
      <c r="U10" s="90" t="s">
        <v>254</v>
      </c>
      <c r="V10" s="115" t="s">
        <v>322</v>
      </c>
      <c r="W10" s="100" t="s">
        <v>300</v>
      </c>
      <c r="X10" s="109" t="s">
        <v>208</v>
      </c>
      <c r="Y10" s="109"/>
      <c r="Z10" s="109"/>
      <c r="AA10" s="109"/>
      <c r="AB10" s="109"/>
      <c r="AC10" s="109"/>
      <c r="AD10" s="109"/>
      <c r="AE10" s="90" t="s">
        <v>298</v>
      </c>
      <c r="AF10" s="148" t="s">
        <v>294</v>
      </c>
      <c r="AG10" s="149"/>
      <c r="AH10" s="100" t="s">
        <v>299</v>
      </c>
      <c r="AI10" s="133" t="s">
        <v>290</v>
      </c>
      <c r="AJ10" s="134"/>
      <c r="AK10" s="134"/>
      <c r="AL10" s="135"/>
      <c r="AM10" s="120" t="s">
        <v>265</v>
      </c>
      <c r="AN10" s="132" t="s">
        <v>188</v>
      </c>
      <c r="AO10" s="90" t="s">
        <v>266</v>
      </c>
      <c r="AP10" s="100" t="s">
        <v>187</v>
      </c>
      <c r="AQ10" s="132" t="s">
        <v>187</v>
      </c>
      <c r="AR10" s="138" t="s">
        <v>98</v>
      </c>
      <c r="AS10" s="100" t="s">
        <v>8</v>
      </c>
      <c r="AT10" s="126" t="s">
        <v>184</v>
      </c>
      <c r="AU10" s="127"/>
      <c r="AV10" s="120" t="s">
        <v>306</v>
      </c>
      <c r="AW10" s="132" t="s">
        <v>267</v>
      </c>
      <c r="AX10" s="90" t="s">
        <v>231</v>
      </c>
      <c r="AY10" s="100" t="s">
        <v>166</v>
      </c>
      <c r="AZ10" s="100" t="s">
        <v>311</v>
      </c>
      <c r="BA10" s="100" t="s">
        <v>207</v>
      </c>
      <c r="BB10" s="90" t="s">
        <v>206</v>
      </c>
      <c r="BC10" s="90" t="s">
        <v>238</v>
      </c>
      <c r="BD10" s="100" t="s">
        <v>268</v>
      </c>
      <c r="BE10" s="90" t="s">
        <v>308</v>
      </c>
      <c r="BF10" s="132" t="s">
        <v>82</v>
      </c>
      <c r="BG10" s="132" t="s">
        <v>269</v>
      </c>
      <c r="BH10" s="100" t="s">
        <v>96</v>
      </c>
      <c r="BI10" s="90" t="s">
        <v>207</v>
      </c>
      <c r="BJ10" s="126" t="s">
        <v>270</v>
      </c>
      <c r="BK10" s="127"/>
      <c r="BL10" s="90" t="s">
        <v>308</v>
      </c>
      <c r="BM10" s="102"/>
      <c r="BN10" s="100" t="s">
        <v>214</v>
      </c>
      <c r="BO10" s="90" t="s">
        <v>332</v>
      </c>
      <c r="BP10" s="90" t="s">
        <v>271</v>
      </c>
      <c r="BQ10" s="126" t="s">
        <v>201</v>
      </c>
      <c r="BR10" s="127"/>
      <c r="BS10" s="90" t="s">
        <v>334</v>
      </c>
      <c r="BT10" s="100" t="s">
        <v>190</v>
      </c>
      <c r="BU10" s="90" t="s">
        <v>272</v>
      </c>
      <c r="BV10" s="100" t="s">
        <v>192</v>
      </c>
      <c r="BW10" s="100" t="s">
        <v>273</v>
      </c>
      <c r="BX10" s="90" t="s">
        <v>278</v>
      </c>
      <c r="BY10" s="90" t="s">
        <v>280</v>
      </c>
      <c r="BZ10" s="90" t="s">
        <v>328</v>
      </c>
      <c r="CA10" s="90" t="s">
        <v>335</v>
      </c>
      <c r="CB10" s="126" t="s">
        <v>274</v>
      </c>
      <c r="CC10" s="127"/>
      <c r="CD10" s="100" t="s">
        <v>192</v>
      </c>
      <c r="CE10" s="90" t="s">
        <v>297</v>
      </c>
      <c r="CF10" s="90" t="s">
        <v>324</v>
      </c>
      <c r="CG10" s="90" t="s">
        <v>284</v>
      </c>
      <c r="CH10" s="96"/>
      <c r="CI10" s="42"/>
      <c r="CJ10" s="43"/>
    </row>
    <row r="11" spans="1:88" s="44" customFormat="1" ht="178.5" customHeight="1" x14ac:dyDescent="0.65">
      <c r="A11" s="102"/>
      <c r="B11" s="102"/>
      <c r="C11" s="100"/>
      <c r="D11" s="92"/>
      <c r="E11" s="92"/>
      <c r="F11" s="100"/>
      <c r="G11" s="100"/>
      <c r="H11" s="100"/>
      <c r="I11" s="92"/>
      <c r="J11" s="92"/>
      <c r="K11" s="100"/>
      <c r="L11" s="100" t="s">
        <v>263</v>
      </c>
      <c r="M11" s="90" t="s">
        <v>251</v>
      </c>
      <c r="N11" s="90" t="s">
        <v>252</v>
      </c>
      <c r="O11" s="92"/>
      <c r="P11" s="92"/>
      <c r="Q11" s="100"/>
      <c r="R11" s="121"/>
      <c r="S11" s="121"/>
      <c r="T11" s="116"/>
      <c r="U11" s="92"/>
      <c r="V11" s="116"/>
      <c r="W11" s="100"/>
      <c r="X11" s="109" t="s">
        <v>205</v>
      </c>
      <c r="Y11" s="118" t="s">
        <v>209</v>
      </c>
      <c r="Z11" s="109" t="s">
        <v>210</v>
      </c>
      <c r="AA11" s="109" t="s">
        <v>211</v>
      </c>
      <c r="AB11" s="119" t="s">
        <v>245</v>
      </c>
      <c r="AC11" s="119" t="s">
        <v>212</v>
      </c>
      <c r="AD11" s="109" t="s">
        <v>264</v>
      </c>
      <c r="AE11" s="92"/>
      <c r="AF11" s="109" t="s">
        <v>295</v>
      </c>
      <c r="AG11" s="109" t="s">
        <v>296</v>
      </c>
      <c r="AH11" s="100"/>
      <c r="AI11" s="136" t="s">
        <v>291</v>
      </c>
      <c r="AJ11" s="136" t="s">
        <v>292</v>
      </c>
      <c r="AK11" s="136" t="s">
        <v>293</v>
      </c>
      <c r="AL11" s="136" t="s">
        <v>303</v>
      </c>
      <c r="AM11" s="121"/>
      <c r="AN11" s="132"/>
      <c r="AO11" s="92"/>
      <c r="AP11" s="100"/>
      <c r="AQ11" s="132"/>
      <c r="AR11" s="139"/>
      <c r="AS11" s="100"/>
      <c r="AT11" s="120" t="s">
        <v>248</v>
      </c>
      <c r="AU11" s="132" t="s">
        <v>323</v>
      </c>
      <c r="AV11" s="121"/>
      <c r="AW11" s="132"/>
      <c r="AX11" s="92"/>
      <c r="AY11" s="100"/>
      <c r="AZ11" s="100"/>
      <c r="BA11" s="100"/>
      <c r="BB11" s="92"/>
      <c r="BC11" s="92"/>
      <c r="BD11" s="100"/>
      <c r="BE11" s="92"/>
      <c r="BF11" s="132"/>
      <c r="BG11" s="132"/>
      <c r="BH11" s="100"/>
      <c r="BI11" s="92"/>
      <c r="BJ11" s="128"/>
      <c r="BK11" s="129"/>
      <c r="BL11" s="92"/>
      <c r="BM11" s="102"/>
      <c r="BN11" s="100"/>
      <c r="BO11" s="92"/>
      <c r="BP11" s="92"/>
      <c r="BQ11" s="128"/>
      <c r="BR11" s="129"/>
      <c r="BS11" s="92"/>
      <c r="BT11" s="100"/>
      <c r="BU11" s="92"/>
      <c r="BV11" s="100"/>
      <c r="BW11" s="100"/>
      <c r="BX11" s="92"/>
      <c r="BY11" s="92"/>
      <c r="BZ11" s="92"/>
      <c r="CA11" s="92"/>
      <c r="CB11" s="128"/>
      <c r="CC11" s="129"/>
      <c r="CD11" s="100"/>
      <c r="CE11" s="92"/>
      <c r="CF11" s="92"/>
      <c r="CG11" s="92"/>
      <c r="CH11" s="96"/>
      <c r="CI11" s="42"/>
      <c r="CJ11" s="43"/>
    </row>
    <row r="12" spans="1:88" s="23" customFormat="1" ht="289.5" customHeight="1" x14ac:dyDescent="0.65">
      <c r="A12" s="102"/>
      <c r="B12" s="102"/>
      <c r="C12" s="100"/>
      <c r="D12" s="91"/>
      <c r="E12" s="91"/>
      <c r="F12" s="100"/>
      <c r="G12" s="100"/>
      <c r="H12" s="100"/>
      <c r="I12" s="91"/>
      <c r="J12" s="91"/>
      <c r="K12" s="100"/>
      <c r="L12" s="100"/>
      <c r="M12" s="91"/>
      <c r="N12" s="91"/>
      <c r="O12" s="91"/>
      <c r="P12" s="91"/>
      <c r="Q12" s="100"/>
      <c r="R12" s="122"/>
      <c r="S12" s="122"/>
      <c r="T12" s="117"/>
      <c r="U12" s="91"/>
      <c r="V12" s="117"/>
      <c r="W12" s="100"/>
      <c r="X12" s="109"/>
      <c r="Y12" s="118"/>
      <c r="Z12" s="109"/>
      <c r="AA12" s="109"/>
      <c r="AB12" s="119"/>
      <c r="AC12" s="119"/>
      <c r="AD12" s="109"/>
      <c r="AE12" s="91"/>
      <c r="AF12" s="109"/>
      <c r="AG12" s="109"/>
      <c r="AH12" s="100"/>
      <c r="AI12" s="137"/>
      <c r="AJ12" s="137"/>
      <c r="AK12" s="137"/>
      <c r="AL12" s="137"/>
      <c r="AM12" s="122"/>
      <c r="AN12" s="132"/>
      <c r="AO12" s="91"/>
      <c r="AP12" s="100"/>
      <c r="AQ12" s="132"/>
      <c r="AR12" s="140"/>
      <c r="AS12" s="100"/>
      <c r="AT12" s="122"/>
      <c r="AU12" s="132"/>
      <c r="AV12" s="122"/>
      <c r="AW12" s="132"/>
      <c r="AX12" s="91"/>
      <c r="AY12" s="100"/>
      <c r="AZ12" s="100"/>
      <c r="BA12" s="100"/>
      <c r="BB12" s="91"/>
      <c r="BC12" s="91"/>
      <c r="BD12" s="100"/>
      <c r="BE12" s="91"/>
      <c r="BF12" s="132"/>
      <c r="BG12" s="132"/>
      <c r="BH12" s="100"/>
      <c r="BI12" s="91"/>
      <c r="BJ12" s="130"/>
      <c r="BK12" s="131"/>
      <c r="BL12" s="91"/>
      <c r="BM12" s="102"/>
      <c r="BN12" s="100"/>
      <c r="BO12" s="91"/>
      <c r="BP12" s="91"/>
      <c r="BQ12" s="130"/>
      <c r="BR12" s="131"/>
      <c r="BS12" s="91"/>
      <c r="BT12" s="100"/>
      <c r="BU12" s="91"/>
      <c r="BV12" s="100"/>
      <c r="BW12" s="100"/>
      <c r="BX12" s="91"/>
      <c r="BY12" s="91"/>
      <c r="BZ12" s="91"/>
      <c r="CA12" s="91"/>
      <c r="CB12" s="130"/>
      <c r="CC12" s="131"/>
      <c r="CD12" s="100"/>
      <c r="CE12" s="91"/>
      <c r="CF12" s="91"/>
      <c r="CG12" s="91"/>
      <c r="CH12" s="96"/>
      <c r="CI12" s="42"/>
    </row>
    <row r="13" spans="1:88" ht="55.5" customHeight="1" x14ac:dyDescent="0.8">
      <c r="A13" s="12" t="s">
        <v>12</v>
      </c>
      <c r="B13" s="13" t="s">
        <v>51</v>
      </c>
      <c r="C13" s="30"/>
      <c r="D13" s="30"/>
      <c r="E13" s="30">
        <f>26116900-1356500+15800</f>
        <v>24776200</v>
      </c>
      <c r="F13" s="30">
        <v>32078700</v>
      </c>
      <c r="G13" s="30">
        <f>5000+465-570+4350</f>
        <v>9245</v>
      </c>
      <c r="H13" s="29">
        <v>76898</v>
      </c>
      <c r="I13" s="29"/>
      <c r="J13" s="29"/>
      <c r="K13" s="29">
        <f>L13+M13+N13</f>
        <v>0</v>
      </c>
      <c r="L13" s="29"/>
      <c r="M13" s="29"/>
      <c r="N13" s="29"/>
      <c r="O13" s="29">
        <v>572097</v>
      </c>
      <c r="P13" s="29">
        <v>86269</v>
      </c>
      <c r="Q13" s="29">
        <v>491667</v>
      </c>
      <c r="R13" s="29"/>
      <c r="S13" s="29"/>
      <c r="T13" s="29"/>
      <c r="U13" s="29"/>
      <c r="V13" s="29"/>
      <c r="W13" s="29">
        <f>X13+Y13+Z13+AA13+AB13+AC13+AD13</f>
        <v>67180</v>
      </c>
      <c r="X13" s="29"/>
      <c r="Y13" s="29"/>
      <c r="Z13" s="29">
        <f>68740-1560</f>
        <v>67180</v>
      </c>
      <c r="AA13" s="29"/>
      <c r="AB13" s="29"/>
      <c r="AC13" s="29"/>
      <c r="AD13" s="29"/>
      <c r="AE13" s="29">
        <f>AF13+AG13</f>
        <v>359155</v>
      </c>
      <c r="AF13" s="29">
        <v>153055</v>
      </c>
      <c r="AG13" s="29">
        <v>206100</v>
      </c>
      <c r="AH13" s="29">
        <f>AI13+AJ13+AK13+AL13</f>
        <v>384491</v>
      </c>
      <c r="AI13" s="29">
        <v>139888</v>
      </c>
      <c r="AJ13" s="29">
        <v>174048</v>
      </c>
      <c r="AK13" s="29">
        <v>55975</v>
      </c>
      <c r="AL13" s="29">
        <v>14580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>
        <f>500000+30000</f>
        <v>530000</v>
      </c>
      <c r="AZ13" s="29"/>
      <c r="BA13" s="29"/>
      <c r="BB13" s="29">
        <v>900000</v>
      </c>
      <c r="BC13" s="29"/>
      <c r="BD13" s="29"/>
      <c r="BE13" s="29"/>
      <c r="BF13" s="29"/>
      <c r="BG13" s="29"/>
      <c r="BH13" s="29">
        <v>575000</v>
      </c>
      <c r="BI13" s="29"/>
      <c r="BJ13" s="29"/>
      <c r="BK13" s="29"/>
      <c r="BL13" s="29"/>
      <c r="BM13" s="29">
        <f t="shared" ref="BM13:BM44" si="0">SUM(C13:BK13)-X13-Y13-Z13-AA13-AB13-AC13-AD13-AT13-L13-M13-N13-AI13-AJ13-AK13-AF13-AG13-AL13+BL13</f>
        <v>60906902</v>
      </c>
      <c r="BN13" s="29"/>
      <c r="BO13" s="29">
        <v>1000000</v>
      </c>
      <c r="BP13" s="29"/>
      <c r="BQ13" s="29"/>
      <c r="BR13" s="29"/>
      <c r="BS13" s="29"/>
      <c r="BT13" s="29"/>
      <c r="BU13" s="29"/>
      <c r="BV13" s="29">
        <v>23300</v>
      </c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>
        <f t="shared" ref="CH13:CH44" si="1">SUM(BN13:CG13)</f>
        <v>1023300</v>
      </c>
      <c r="CI13" s="29"/>
    </row>
    <row r="14" spans="1:88" ht="55.5" customHeight="1" x14ac:dyDescent="0.8">
      <c r="A14" s="12" t="s">
        <v>13</v>
      </c>
      <c r="B14" s="13" t="s">
        <v>86</v>
      </c>
      <c r="C14" s="28"/>
      <c r="D14" s="28"/>
      <c r="E14" s="28">
        <f>1066679500-3680800-1909800</f>
        <v>1061088900</v>
      </c>
      <c r="F14" s="28">
        <v>1103149900</v>
      </c>
      <c r="G14" s="28">
        <f>988300-353965+52870+83450</f>
        <v>770655</v>
      </c>
      <c r="H14" s="76">
        <v>13533570</v>
      </c>
      <c r="I14" s="76">
        <f>30000+500000</f>
        <v>530000</v>
      </c>
      <c r="J14" s="76">
        <v>1114357</v>
      </c>
      <c r="K14" s="29">
        <f t="shared" ref="K14:K25" si="2">L14+M14+N14</f>
        <v>0</v>
      </c>
      <c r="L14" s="76"/>
      <c r="M14" s="76"/>
      <c r="N14" s="76"/>
      <c r="O14" s="76">
        <v>21031131</v>
      </c>
      <c r="P14" s="76">
        <v>3171362.39</v>
      </c>
      <c r="Q14" s="76">
        <v>29318894</v>
      </c>
      <c r="R14" s="76">
        <f>7862476.69+1115013.23</f>
        <v>8977489.9199999999</v>
      </c>
      <c r="S14" s="76"/>
      <c r="T14" s="76">
        <v>708174.21</v>
      </c>
      <c r="U14" s="76">
        <f>560000</f>
        <v>560000</v>
      </c>
      <c r="V14" s="29"/>
      <c r="W14" s="29">
        <f t="shared" ref="W14:W77" si="3">X14+Y14+Z14+AA14+AB14+AC14+AD14</f>
        <v>4777316</v>
      </c>
      <c r="X14" s="76"/>
      <c r="Y14" s="76"/>
      <c r="Z14" s="76">
        <f>1809832-42236</f>
        <v>1767596</v>
      </c>
      <c r="AA14" s="76">
        <f>400000</f>
        <v>400000</v>
      </c>
      <c r="AB14" s="76">
        <f>1834300</f>
        <v>1834300</v>
      </c>
      <c r="AC14" s="76">
        <f>775420</f>
        <v>775420</v>
      </c>
      <c r="AD14" s="76"/>
      <c r="AE14" s="29">
        <f t="shared" ref="AE14:AE77" si="4">AF14+AG14</f>
        <v>6473038</v>
      </c>
      <c r="AF14" s="29">
        <v>6060838</v>
      </c>
      <c r="AG14" s="29">
        <v>412200</v>
      </c>
      <c r="AH14" s="29">
        <f t="shared" ref="AH14:AH77" si="5">AI14+AJ14+AK14+AL14</f>
        <v>16335603</v>
      </c>
      <c r="AI14" s="76">
        <v>6134924</v>
      </c>
      <c r="AJ14" s="76">
        <v>8003518</v>
      </c>
      <c r="AK14" s="76">
        <v>2197161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>
        <f>15695000</f>
        <v>15695000</v>
      </c>
      <c r="AZ14" s="76">
        <v>585900</v>
      </c>
      <c r="BA14" s="76"/>
      <c r="BB14" s="76">
        <v>4500000</v>
      </c>
      <c r="BC14" s="76">
        <f>6600000-550000</f>
        <v>6050000</v>
      </c>
      <c r="BD14" s="76">
        <v>39000</v>
      </c>
      <c r="BE14" s="76"/>
      <c r="BF14" s="76"/>
      <c r="BG14" s="76"/>
      <c r="BH14" s="76"/>
      <c r="BI14" s="29"/>
      <c r="BJ14" s="29"/>
      <c r="BK14" s="29"/>
      <c r="BL14" s="29"/>
      <c r="BM14" s="29">
        <f t="shared" si="0"/>
        <v>2298410290.52</v>
      </c>
      <c r="BN14" s="29"/>
      <c r="BO14" s="29"/>
      <c r="BP14" s="29"/>
      <c r="BQ14" s="76"/>
      <c r="BR14" s="76"/>
      <c r="BS14" s="76"/>
      <c r="BT14" s="76"/>
      <c r="BU14" s="76"/>
      <c r="BV14" s="76"/>
      <c r="BW14" s="76">
        <v>2150000</v>
      </c>
      <c r="BX14" s="76"/>
      <c r="BY14" s="76"/>
      <c r="BZ14" s="76"/>
      <c r="CA14" s="76"/>
      <c r="CB14" s="76">
        <f>59998+19800</f>
        <v>79798</v>
      </c>
      <c r="CC14" s="76">
        <f>98000+623600+100000+75000+225600+117000</f>
        <v>1239200</v>
      </c>
      <c r="CD14" s="76">
        <f>2105760-1102760</f>
        <v>1003000</v>
      </c>
      <c r="CE14" s="29">
        <v>14500000</v>
      </c>
      <c r="CF14" s="29"/>
      <c r="CG14" s="29"/>
      <c r="CH14" s="29">
        <f t="shared" si="1"/>
        <v>18971998</v>
      </c>
      <c r="CI14" s="76"/>
    </row>
    <row r="15" spans="1:88" ht="51.75" customHeight="1" x14ac:dyDescent="0.8">
      <c r="A15" s="12" t="s">
        <v>14</v>
      </c>
      <c r="B15" s="13" t="s">
        <v>163</v>
      </c>
      <c r="C15" s="28"/>
      <c r="D15" s="28"/>
      <c r="E15" s="28">
        <f>291500400+1363300-1376000</f>
        <v>291487700</v>
      </c>
      <c r="F15" s="28">
        <v>452858700</v>
      </c>
      <c r="G15" s="28">
        <f>334800-27900-11100+14500</f>
        <v>310300</v>
      </c>
      <c r="H15" s="76">
        <v>9371121</v>
      </c>
      <c r="I15" s="76"/>
      <c r="J15" s="76"/>
      <c r="K15" s="29">
        <f t="shared" si="2"/>
        <v>0</v>
      </c>
      <c r="L15" s="76"/>
      <c r="M15" s="76"/>
      <c r="N15" s="76"/>
      <c r="O15" s="76">
        <v>5889997</v>
      </c>
      <c r="P15" s="76">
        <v>888177</v>
      </c>
      <c r="Q15" s="76">
        <f>6966835+85000</f>
        <v>7051835</v>
      </c>
      <c r="R15" s="76">
        <v>661150.01</v>
      </c>
      <c r="S15" s="76"/>
      <c r="T15" s="76"/>
      <c r="U15" s="76"/>
      <c r="V15" s="29"/>
      <c r="W15" s="29">
        <f t="shared" si="3"/>
        <v>11451123</v>
      </c>
      <c r="X15" s="76">
        <f>10000000</f>
        <v>10000000</v>
      </c>
      <c r="Y15" s="76"/>
      <c r="Z15" s="76">
        <f>781918-17745</f>
        <v>764173</v>
      </c>
      <c r="AA15" s="76">
        <f>400000</f>
        <v>400000</v>
      </c>
      <c r="AB15" s="76">
        <f>122285</f>
        <v>122285</v>
      </c>
      <c r="AC15" s="76">
        <f>164665</f>
        <v>164665</v>
      </c>
      <c r="AD15" s="76"/>
      <c r="AE15" s="29">
        <f t="shared" si="4"/>
        <v>2262817</v>
      </c>
      <c r="AF15" s="29">
        <v>1438717</v>
      </c>
      <c r="AG15" s="29">
        <v>824100</v>
      </c>
      <c r="AH15" s="29">
        <f t="shared" si="5"/>
        <v>4309955</v>
      </c>
      <c r="AI15" s="76">
        <v>1591226</v>
      </c>
      <c r="AJ15" s="76">
        <v>1994559</v>
      </c>
      <c r="AK15" s="76">
        <f>139937+461793</f>
        <v>601730</v>
      </c>
      <c r="AL15" s="76">
        <v>122440</v>
      </c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>
        <v>1065000</v>
      </c>
      <c r="AZ15" s="76"/>
      <c r="BA15" s="76">
        <v>1000000</v>
      </c>
      <c r="BB15" s="76"/>
      <c r="BC15" s="76">
        <v>550000</v>
      </c>
      <c r="BD15" s="76"/>
      <c r="BE15" s="76">
        <v>20000000</v>
      </c>
      <c r="BF15" s="76"/>
      <c r="BG15" s="76"/>
      <c r="BH15" s="76"/>
      <c r="BI15" s="29">
        <v>1472110</v>
      </c>
      <c r="BJ15" s="29"/>
      <c r="BK15" s="29"/>
      <c r="BL15" s="29"/>
      <c r="BM15" s="29">
        <f t="shared" si="0"/>
        <v>810629985.00999999</v>
      </c>
      <c r="BN15" s="29"/>
      <c r="BO15" s="29"/>
      <c r="BP15" s="29"/>
      <c r="BQ15" s="76"/>
      <c r="BR15" s="76">
        <f>2000000-2000000</f>
        <v>0</v>
      </c>
      <c r="BS15" s="76"/>
      <c r="BT15" s="76">
        <f>20000000-20000000</f>
        <v>0</v>
      </c>
      <c r="BU15" s="76"/>
      <c r="BV15" s="76">
        <v>80000</v>
      </c>
      <c r="BW15" s="76"/>
      <c r="BX15" s="76"/>
      <c r="BY15" s="76"/>
      <c r="BZ15" s="76"/>
      <c r="CA15" s="76"/>
      <c r="CB15" s="76"/>
      <c r="CC15" s="76"/>
      <c r="CD15" s="76"/>
      <c r="CE15" s="29"/>
      <c r="CF15" s="29"/>
      <c r="CG15" s="29"/>
      <c r="CH15" s="29">
        <f t="shared" si="1"/>
        <v>80000</v>
      </c>
      <c r="CI15" s="76"/>
    </row>
    <row r="16" spans="1:88" ht="59.25" customHeight="1" x14ac:dyDescent="0.8">
      <c r="A16" s="12" t="s">
        <v>15</v>
      </c>
      <c r="B16" s="13" t="s">
        <v>52</v>
      </c>
      <c r="C16" s="28"/>
      <c r="D16" s="28"/>
      <c r="E16" s="28">
        <f>71097500-1522700+177500</f>
        <v>69752300</v>
      </c>
      <c r="F16" s="28">
        <v>135723000</v>
      </c>
      <c r="G16" s="28">
        <f>1224300-283400+269000-2500</f>
        <v>1207400</v>
      </c>
      <c r="H16" s="76">
        <v>2023634</v>
      </c>
      <c r="I16" s="76"/>
      <c r="J16" s="76"/>
      <c r="K16" s="29">
        <f t="shared" si="2"/>
        <v>0</v>
      </c>
      <c r="L16" s="76"/>
      <c r="M16" s="76"/>
      <c r="N16" s="76"/>
      <c r="O16" s="76">
        <v>945910</v>
      </c>
      <c r="P16" s="76">
        <v>142638</v>
      </c>
      <c r="Q16" s="76">
        <v>1358775</v>
      </c>
      <c r="R16" s="76">
        <f>528920.01+528920.01</f>
        <v>1057840.02</v>
      </c>
      <c r="S16" s="76"/>
      <c r="T16" s="76"/>
      <c r="U16" s="76"/>
      <c r="V16" s="29"/>
      <c r="W16" s="29">
        <f t="shared" si="3"/>
        <v>3784891</v>
      </c>
      <c r="X16" s="76">
        <v>3545041</v>
      </c>
      <c r="Y16" s="76"/>
      <c r="Z16" s="76">
        <f>120295-2730</f>
        <v>117565</v>
      </c>
      <c r="AA16" s="76"/>
      <c r="AB16" s="76">
        <f>122285</f>
        <v>122285</v>
      </c>
      <c r="AC16" s="76"/>
      <c r="AD16" s="76"/>
      <c r="AE16" s="29">
        <f t="shared" si="4"/>
        <v>818320</v>
      </c>
      <c r="AF16" s="29">
        <v>612220</v>
      </c>
      <c r="AG16" s="29">
        <v>206100</v>
      </c>
      <c r="AH16" s="29">
        <f t="shared" si="5"/>
        <v>709982</v>
      </c>
      <c r="AI16" s="76">
        <v>244804</v>
      </c>
      <c r="AJ16" s="76">
        <v>289821</v>
      </c>
      <c r="AK16" s="76">
        <f>601730-461793</f>
        <v>139937</v>
      </c>
      <c r="AL16" s="76">
        <v>35420</v>
      </c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>
        <v>550000</v>
      </c>
      <c r="AZ16" s="76">
        <f>50000</f>
        <v>50000</v>
      </c>
      <c r="BA16" s="76">
        <v>1000000</v>
      </c>
      <c r="BB16" s="76">
        <v>450000</v>
      </c>
      <c r="BC16" s="76">
        <v>550000</v>
      </c>
      <c r="BD16" s="76"/>
      <c r="BE16" s="76"/>
      <c r="BF16" s="76"/>
      <c r="BG16" s="76"/>
      <c r="BH16" s="76"/>
      <c r="BI16" s="29">
        <v>887345</v>
      </c>
      <c r="BJ16" s="29"/>
      <c r="BK16" s="29"/>
      <c r="BL16" s="29"/>
      <c r="BM16" s="29">
        <f t="shared" si="0"/>
        <v>221012035.02000001</v>
      </c>
      <c r="BN16" s="29"/>
      <c r="BO16" s="29"/>
      <c r="BP16" s="29"/>
      <c r="BQ16" s="76"/>
      <c r="BR16" s="76"/>
      <c r="BS16" s="76"/>
      <c r="BT16" s="76"/>
      <c r="BU16" s="76"/>
      <c r="BV16" s="76">
        <v>45800</v>
      </c>
      <c r="BW16" s="76"/>
      <c r="BX16" s="76"/>
      <c r="BY16" s="76"/>
      <c r="BZ16" s="76"/>
      <c r="CA16" s="76"/>
      <c r="CB16" s="76"/>
      <c r="CC16" s="76"/>
      <c r="CD16" s="76"/>
      <c r="CE16" s="29"/>
      <c r="CF16" s="29"/>
      <c r="CG16" s="29"/>
      <c r="CH16" s="29">
        <f t="shared" si="1"/>
        <v>45800</v>
      </c>
      <c r="CI16" s="76"/>
    </row>
    <row r="17" spans="1:87" ht="66.75" customHeight="1" x14ac:dyDescent="0.8">
      <c r="A17" s="12" t="s">
        <v>16</v>
      </c>
      <c r="B17" s="13" t="s">
        <v>53</v>
      </c>
      <c r="C17" s="28"/>
      <c r="D17" s="28"/>
      <c r="E17" s="28">
        <f>788973600+4679100+2480700</f>
        <v>796133400</v>
      </c>
      <c r="F17" s="28">
        <v>1165720000</v>
      </c>
      <c r="G17" s="76">
        <f>2233800-96800+19500+46800</f>
        <v>2203300</v>
      </c>
      <c r="H17" s="76">
        <v>11153950</v>
      </c>
      <c r="I17" s="76"/>
      <c r="J17" s="76"/>
      <c r="K17" s="29">
        <f t="shared" si="2"/>
        <v>0</v>
      </c>
      <c r="L17" s="76"/>
      <c r="M17" s="76"/>
      <c r="N17" s="76"/>
      <c r="O17" s="76">
        <v>12235070</v>
      </c>
      <c r="P17" s="76">
        <v>1844977</v>
      </c>
      <c r="Q17" s="76">
        <v>14416060</v>
      </c>
      <c r="R17" s="76">
        <f>1038280.56+1620527.79</f>
        <v>2658808.35</v>
      </c>
      <c r="S17" s="76"/>
      <c r="T17" s="76">
        <v>1408926.87</v>
      </c>
      <c r="U17" s="76">
        <f>10870000</f>
        <v>10870000</v>
      </c>
      <c r="V17" s="29"/>
      <c r="W17" s="29">
        <f t="shared" si="3"/>
        <v>3956733</v>
      </c>
      <c r="X17" s="76"/>
      <c r="Y17" s="76"/>
      <c r="Z17" s="76">
        <f>2225458-50505</f>
        <v>2174953</v>
      </c>
      <c r="AA17" s="76"/>
      <c r="AB17" s="76">
        <f>1467420</f>
        <v>1467420</v>
      </c>
      <c r="AC17" s="76">
        <f>314360</f>
        <v>314360</v>
      </c>
      <c r="AD17" s="76"/>
      <c r="AE17" s="29">
        <f t="shared" si="4"/>
        <v>24725511</v>
      </c>
      <c r="AF17" s="29">
        <v>24519411</v>
      </c>
      <c r="AG17" s="29">
        <v>206100</v>
      </c>
      <c r="AH17" s="29">
        <f t="shared" si="5"/>
        <v>12389853</v>
      </c>
      <c r="AI17" s="76">
        <v>4528874</v>
      </c>
      <c r="AJ17" s="76">
        <v>5404035</v>
      </c>
      <c r="AK17" s="76">
        <v>1903264</v>
      </c>
      <c r="AL17" s="76">
        <v>553680</v>
      </c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>
        <f>14750000-1060000</f>
        <v>13690000</v>
      </c>
      <c r="AZ17" s="76"/>
      <c r="BA17" s="76"/>
      <c r="BB17" s="76"/>
      <c r="BC17" s="76"/>
      <c r="BD17" s="76">
        <v>52000</v>
      </c>
      <c r="BE17" s="76"/>
      <c r="BF17" s="76"/>
      <c r="BG17" s="76"/>
      <c r="BH17" s="76"/>
      <c r="BI17" s="29"/>
      <c r="BJ17" s="29">
        <f>18000000</f>
        <v>18000000</v>
      </c>
      <c r="BK17" s="29">
        <f>25000000-24900000</f>
        <v>100000</v>
      </c>
      <c r="BL17" s="29"/>
      <c r="BM17" s="29">
        <f t="shared" si="0"/>
        <v>2091558589.2199998</v>
      </c>
      <c r="BN17" s="29"/>
      <c r="BO17" s="29"/>
      <c r="BP17" s="29"/>
      <c r="BQ17" s="76"/>
      <c r="BR17" s="76"/>
      <c r="BS17" s="76"/>
      <c r="BT17" s="76"/>
      <c r="BU17" s="76">
        <f>73086</f>
        <v>73086</v>
      </c>
      <c r="BV17" s="76"/>
      <c r="BW17" s="76"/>
      <c r="BX17" s="76"/>
      <c r="BY17" s="76">
        <v>4000000</v>
      </c>
      <c r="BZ17" s="76">
        <v>1000000</v>
      </c>
      <c r="CA17" s="76"/>
      <c r="CB17" s="76"/>
      <c r="CC17" s="76"/>
      <c r="CD17" s="76"/>
      <c r="CE17" s="29"/>
      <c r="CF17" s="29"/>
      <c r="CG17" s="29"/>
      <c r="CH17" s="29">
        <f t="shared" si="1"/>
        <v>5073086</v>
      </c>
      <c r="CI17" s="76"/>
    </row>
    <row r="18" spans="1:87" ht="59.25" customHeight="1" x14ac:dyDescent="0.8">
      <c r="A18" s="12" t="s">
        <v>17</v>
      </c>
      <c r="B18" s="13" t="s">
        <v>54</v>
      </c>
      <c r="C18" s="28"/>
      <c r="D18" s="28"/>
      <c r="E18" s="28">
        <f>68289300+182000-387200</f>
        <v>68084100</v>
      </c>
      <c r="F18" s="28">
        <v>106012100</v>
      </c>
      <c r="G18" s="28">
        <f>162500+62400-22000+2700</f>
        <v>205600</v>
      </c>
      <c r="H18" s="76">
        <f>5284823+1304000</f>
        <v>6588823</v>
      </c>
      <c r="I18" s="76">
        <v>200000</v>
      </c>
      <c r="J18" s="76"/>
      <c r="K18" s="29">
        <f t="shared" si="2"/>
        <v>0</v>
      </c>
      <c r="L18" s="76"/>
      <c r="M18" s="76"/>
      <c r="N18" s="76"/>
      <c r="O18" s="76">
        <v>952411</v>
      </c>
      <c r="P18" s="76">
        <v>143618</v>
      </c>
      <c r="Q18" s="76">
        <v>1354389</v>
      </c>
      <c r="R18" s="76"/>
      <c r="S18" s="76"/>
      <c r="T18" s="76"/>
      <c r="U18" s="76">
        <v>204000</v>
      </c>
      <c r="V18" s="29"/>
      <c r="W18" s="29">
        <f t="shared" si="3"/>
        <v>7363520</v>
      </c>
      <c r="X18" s="76">
        <v>7090080</v>
      </c>
      <c r="Y18" s="76"/>
      <c r="Z18" s="76">
        <f>154665-3510</f>
        <v>151155</v>
      </c>
      <c r="AA18" s="76"/>
      <c r="AB18" s="76">
        <f>122285</f>
        <v>122285</v>
      </c>
      <c r="AC18" s="76"/>
      <c r="AD18" s="76"/>
      <c r="AE18" s="29">
        <f t="shared" si="4"/>
        <v>481599</v>
      </c>
      <c r="AF18" s="29">
        <v>275499</v>
      </c>
      <c r="AG18" s="29">
        <v>206100</v>
      </c>
      <c r="AH18" s="29">
        <f t="shared" si="5"/>
        <v>872880</v>
      </c>
      <c r="AI18" s="76">
        <v>314748</v>
      </c>
      <c r="AJ18" s="76">
        <v>370629</v>
      </c>
      <c r="AK18" s="76">
        <v>153931</v>
      </c>
      <c r="AL18" s="76">
        <v>33572</v>
      </c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>
        <v>1020000</v>
      </c>
      <c r="AZ18" s="76"/>
      <c r="BA18" s="76"/>
      <c r="BB18" s="76"/>
      <c r="BC18" s="76">
        <f>550000</f>
        <v>550000</v>
      </c>
      <c r="BD18" s="76"/>
      <c r="BE18" s="76"/>
      <c r="BF18" s="76"/>
      <c r="BG18" s="76"/>
      <c r="BH18" s="76"/>
      <c r="BI18" s="29"/>
      <c r="BJ18" s="29"/>
      <c r="BK18" s="29"/>
      <c r="BL18" s="29"/>
      <c r="BM18" s="29">
        <f t="shared" si="0"/>
        <v>194033040</v>
      </c>
      <c r="BN18" s="29"/>
      <c r="BO18" s="29"/>
      <c r="BP18" s="29"/>
      <c r="BQ18" s="76"/>
      <c r="BR18" s="76">
        <f>1500000+2500000</f>
        <v>4000000</v>
      </c>
      <c r="BS18" s="76"/>
      <c r="BT18" s="76"/>
      <c r="BU18" s="76"/>
      <c r="BV18" s="76"/>
      <c r="BW18" s="76"/>
      <c r="BX18" s="76">
        <v>150000</v>
      </c>
      <c r="BY18" s="76"/>
      <c r="BZ18" s="76"/>
      <c r="CA18" s="76"/>
      <c r="CB18" s="76"/>
      <c r="CC18" s="76"/>
      <c r="CD18" s="76">
        <v>25000</v>
      </c>
      <c r="CE18" s="29"/>
      <c r="CF18" s="29"/>
      <c r="CG18" s="29"/>
      <c r="CH18" s="29">
        <f t="shared" si="1"/>
        <v>4175000</v>
      </c>
      <c r="CI18" s="76"/>
    </row>
    <row r="19" spans="1:87" ht="59.25" customHeight="1" x14ac:dyDescent="0.8">
      <c r="A19" s="12" t="s">
        <v>18</v>
      </c>
      <c r="B19" s="13" t="s">
        <v>55</v>
      </c>
      <c r="C19" s="28"/>
      <c r="D19" s="28"/>
      <c r="E19" s="28">
        <f>165085300+1263000+1702500</f>
        <v>168050800</v>
      </c>
      <c r="F19" s="28">
        <v>246693200</v>
      </c>
      <c r="G19" s="28">
        <f>182200-71700+9800-11200</f>
        <v>109100</v>
      </c>
      <c r="H19" s="76">
        <v>3898869</v>
      </c>
      <c r="I19" s="76"/>
      <c r="J19" s="76"/>
      <c r="K19" s="29">
        <f t="shared" si="2"/>
        <v>0</v>
      </c>
      <c r="L19" s="76"/>
      <c r="M19" s="76"/>
      <c r="N19" s="76"/>
      <c r="O19" s="76">
        <v>2454165</v>
      </c>
      <c r="P19" s="76">
        <v>370074</v>
      </c>
      <c r="Q19" s="76">
        <v>2729470</v>
      </c>
      <c r="R19" s="76"/>
      <c r="S19" s="76"/>
      <c r="T19" s="76"/>
      <c r="U19" s="76"/>
      <c r="V19" s="29"/>
      <c r="W19" s="29">
        <f t="shared" si="3"/>
        <v>511445</v>
      </c>
      <c r="X19" s="76"/>
      <c r="Y19" s="76"/>
      <c r="Z19" s="76">
        <f>403848-9165</f>
        <v>394683</v>
      </c>
      <c r="AA19" s="76"/>
      <c r="AB19" s="76"/>
      <c r="AC19" s="76">
        <f>116762</f>
        <v>116762</v>
      </c>
      <c r="AD19" s="76"/>
      <c r="AE19" s="29">
        <f t="shared" si="4"/>
        <v>2685591</v>
      </c>
      <c r="AF19" s="29">
        <v>2479491</v>
      </c>
      <c r="AG19" s="29">
        <v>206100</v>
      </c>
      <c r="AH19" s="29">
        <f t="shared" si="5"/>
        <v>2273785</v>
      </c>
      <c r="AI19" s="76">
        <v>821842</v>
      </c>
      <c r="AJ19" s="76">
        <v>1002330</v>
      </c>
      <c r="AK19" s="76">
        <v>363837</v>
      </c>
      <c r="AL19" s="76">
        <v>85776</v>
      </c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>
        <f>1700000-10000</f>
        <v>1690000</v>
      </c>
      <c r="AZ19" s="76">
        <f>119600</f>
        <v>119600</v>
      </c>
      <c r="BA19" s="76">
        <v>1000000</v>
      </c>
      <c r="BB19" s="76"/>
      <c r="BC19" s="76">
        <v>1100000</v>
      </c>
      <c r="BD19" s="76">
        <v>13000</v>
      </c>
      <c r="BE19" s="76"/>
      <c r="BF19" s="76"/>
      <c r="BG19" s="76"/>
      <c r="BH19" s="76"/>
      <c r="BI19" s="29">
        <v>1262409</v>
      </c>
      <c r="BJ19" s="29"/>
      <c r="BK19" s="29"/>
      <c r="BL19" s="29"/>
      <c r="BM19" s="29">
        <f t="shared" si="0"/>
        <v>434961508</v>
      </c>
      <c r="BN19" s="29"/>
      <c r="BO19" s="29"/>
      <c r="BP19" s="29"/>
      <c r="BQ19" s="76"/>
      <c r="BR19" s="76">
        <f>1000000+16500000</f>
        <v>17500000</v>
      </c>
      <c r="BS19" s="76"/>
      <c r="BT19" s="76">
        <f>12000000-9500000</f>
        <v>2500000</v>
      </c>
      <c r="BU19" s="76"/>
      <c r="BV19" s="76">
        <f>112600</f>
        <v>112600</v>
      </c>
      <c r="BW19" s="76"/>
      <c r="BX19" s="76"/>
      <c r="BY19" s="76"/>
      <c r="BZ19" s="76"/>
      <c r="CA19" s="76"/>
      <c r="CB19" s="76"/>
      <c r="CC19" s="76"/>
      <c r="CD19" s="76"/>
      <c r="CE19" s="29"/>
      <c r="CF19" s="29"/>
      <c r="CG19" s="29"/>
      <c r="CH19" s="29">
        <f t="shared" si="1"/>
        <v>20112600</v>
      </c>
      <c r="CI19" s="76"/>
    </row>
    <row r="20" spans="1:87" ht="55.5" customHeight="1" x14ac:dyDescent="0.8">
      <c r="A20" s="12" t="s">
        <v>19</v>
      </c>
      <c r="B20" s="13" t="s">
        <v>56</v>
      </c>
      <c r="C20" s="28"/>
      <c r="D20" s="28"/>
      <c r="E20" s="28">
        <f>97846100+621900+233000</f>
        <v>98701000</v>
      </c>
      <c r="F20" s="28">
        <v>151767500</v>
      </c>
      <c r="G20" s="28">
        <f>148400+17000-17300+16200</f>
        <v>164300</v>
      </c>
      <c r="H20" s="76">
        <v>1686435</v>
      </c>
      <c r="I20" s="76"/>
      <c r="J20" s="76"/>
      <c r="K20" s="29">
        <f t="shared" si="2"/>
        <v>0</v>
      </c>
      <c r="L20" s="76"/>
      <c r="M20" s="76"/>
      <c r="N20" s="76"/>
      <c r="O20" s="76">
        <v>1309972</v>
      </c>
      <c r="P20" s="76">
        <v>197536</v>
      </c>
      <c r="Q20" s="76">
        <v>1625919</v>
      </c>
      <c r="R20" s="76"/>
      <c r="S20" s="76"/>
      <c r="T20" s="76">
        <v>784883.96</v>
      </c>
      <c r="U20" s="76"/>
      <c r="V20" s="29"/>
      <c r="W20" s="29">
        <f t="shared" si="3"/>
        <v>399403</v>
      </c>
      <c r="X20" s="76"/>
      <c r="Y20" s="76"/>
      <c r="Z20" s="76">
        <f>283553-6435</f>
        <v>277118</v>
      </c>
      <c r="AA20" s="76"/>
      <c r="AB20" s="76">
        <f>122285</f>
        <v>122285</v>
      </c>
      <c r="AC20" s="76"/>
      <c r="AD20" s="76"/>
      <c r="AE20" s="29">
        <f t="shared" si="4"/>
        <v>1185652</v>
      </c>
      <c r="AF20" s="29">
        <v>979552</v>
      </c>
      <c r="AG20" s="29">
        <v>206100</v>
      </c>
      <c r="AH20" s="29">
        <f t="shared" si="5"/>
        <v>1511408</v>
      </c>
      <c r="AI20" s="76">
        <v>577038</v>
      </c>
      <c r="AJ20" s="76">
        <v>653457</v>
      </c>
      <c r="AK20" s="76">
        <v>237893</v>
      </c>
      <c r="AL20" s="76">
        <v>43020</v>
      </c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>
        <v>1315000</v>
      </c>
      <c r="AZ20" s="76">
        <f>34000</f>
        <v>34000</v>
      </c>
      <c r="BA20" s="76"/>
      <c r="BB20" s="76"/>
      <c r="BC20" s="76">
        <v>1100000</v>
      </c>
      <c r="BD20" s="76"/>
      <c r="BE20" s="76"/>
      <c r="BF20" s="76"/>
      <c r="BG20" s="76"/>
      <c r="BH20" s="76"/>
      <c r="BI20" s="29"/>
      <c r="BJ20" s="29"/>
      <c r="BK20" s="29"/>
      <c r="BL20" s="29"/>
      <c r="BM20" s="29">
        <f t="shared" si="0"/>
        <v>261783008.96000001</v>
      </c>
      <c r="BN20" s="29"/>
      <c r="BO20" s="29"/>
      <c r="BP20" s="29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>
        <v>70700</v>
      </c>
      <c r="CE20" s="29"/>
      <c r="CF20" s="29"/>
      <c r="CG20" s="29"/>
      <c r="CH20" s="29">
        <f t="shared" si="1"/>
        <v>70700</v>
      </c>
      <c r="CI20" s="76"/>
    </row>
    <row r="21" spans="1:87" ht="59.25" customHeight="1" x14ac:dyDescent="0.8">
      <c r="A21" s="12" t="s">
        <v>20</v>
      </c>
      <c r="B21" s="13" t="s">
        <v>83</v>
      </c>
      <c r="C21" s="28"/>
      <c r="D21" s="28"/>
      <c r="E21" s="28">
        <f>57851900+873100+684900</f>
        <v>59409900</v>
      </c>
      <c r="F21" s="28">
        <v>83225100</v>
      </c>
      <c r="G21" s="28">
        <f>270100+104700-39100-30000</f>
        <v>305700</v>
      </c>
      <c r="H21" s="76">
        <v>1299180</v>
      </c>
      <c r="I21" s="76"/>
      <c r="J21" s="76"/>
      <c r="K21" s="29">
        <f t="shared" si="2"/>
        <v>0</v>
      </c>
      <c r="L21" s="76"/>
      <c r="M21" s="76"/>
      <c r="N21" s="76"/>
      <c r="O21" s="76">
        <v>799635</v>
      </c>
      <c r="P21" s="76">
        <v>120580</v>
      </c>
      <c r="Q21" s="76">
        <v>1386440</v>
      </c>
      <c r="R21" s="76"/>
      <c r="S21" s="76"/>
      <c r="T21" s="76"/>
      <c r="U21" s="76">
        <f>668000</f>
        <v>668000</v>
      </c>
      <c r="V21" s="29"/>
      <c r="W21" s="29">
        <f t="shared" si="3"/>
        <v>117565</v>
      </c>
      <c r="X21" s="76"/>
      <c r="Y21" s="76"/>
      <c r="Z21" s="76">
        <f>120295-2730</f>
        <v>117565</v>
      </c>
      <c r="AA21" s="76"/>
      <c r="AB21" s="76"/>
      <c r="AC21" s="76"/>
      <c r="AD21" s="76"/>
      <c r="AE21" s="29">
        <f t="shared" si="4"/>
        <v>1430540</v>
      </c>
      <c r="AF21" s="29">
        <v>1224440</v>
      </c>
      <c r="AG21" s="29">
        <v>206100</v>
      </c>
      <c r="AH21" s="29">
        <f t="shared" si="5"/>
        <v>685172</v>
      </c>
      <c r="AI21" s="76">
        <v>244804</v>
      </c>
      <c r="AJ21" s="76">
        <v>281274</v>
      </c>
      <c r="AK21" s="76">
        <f>265881-139937</f>
        <v>125944</v>
      </c>
      <c r="AL21" s="76">
        <v>33150</v>
      </c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>
        <v>1050000</v>
      </c>
      <c r="AZ21" s="76"/>
      <c r="BA21" s="76">
        <v>1000000</v>
      </c>
      <c r="BB21" s="76">
        <v>450000</v>
      </c>
      <c r="BC21" s="76">
        <v>550000</v>
      </c>
      <c r="BD21" s="76"/>
      <c r="BE21" s="76"/>
      <c r="BF21" s="76"/>
      <c r="BG21" s="76"/>
      <c r="BH21" s="76"/>
      <c r="BI21" s="29">
        <v>1642877</v>
      </c>
      <c r="BJ21" s="29"/>
      <c r="BK21" s="29"/>
      <c r="BL21" s="29"/>
      <c r="BM21" s="29">
        <f t="shared" si="0"/>
        <v>154140689</v>
      </c>
      <c r="BN21" s="29"/>
      <c r="BO21" s="29"/>
      <c r="BP21" s="29"/>
      <c r="BQ21" s="76"/>
      <c r="BR21" s="76">
        <f>5000000-400000</f>
        <v>4600000</v>
      </c>
      <c r="BS21" s="76"/>
      <c r="BT21" s="76"/>
      <c r="BU21" s="76"/>
      <c r="BV21" s="76">
        <v>41400</v>
      </c>
      <c r="BW21" s="76"/>
      <c r="BX21" s="76"/>
      <c r="BY21" s="76"/>
      <c r="BZ21" s="76"/>
      <c r="CA21" s="76"/>
      <c r="CB21" s="76"/>
      <c r="CC21" s="76"/>
      <c r="CD21" s="76"/>
      <c r="CE21" s="29"/>
      <c r="CF21" s="29"/>
      <c r="CG21" s="29"/>
      <c r="CH21" s="29">
        <f t="shared" si="1"/>
        <v>4641400</v>
      </c>
      <c r="CI21" s="76"/>
    </row>
    <row r="22" spans="1:87" ht="66.75" customHeight="1" x14ac:dyDescent="0.8">
      <c r="A22" s="12" t="s">
        <v>21</v>
      </c>
      <c r="B22" s="13" t="s">
        <v>57</v>
      </c>
      <c r="C22" s="28"/>
      <c r="D22" s="28"/>
      <c r="E22" s="28">
        <f>138628100-2048900+225200</f>
        <v>136804400</v>
      </c>
      <c r="F22" s="28">
        <v>211636100</v>
      </c>
      <c r="G22" s="28">
        <f>650100+99400-28100-37000</f>
        <v>684400</v>
      </c>
      <c r="H22" s="76">
        <f>2595485+885000</f>
        <v>3480485</v>
      </c>
      <c r="I22" s="76"/>
      <c r="J22" s="76"/>
      <c r="K22" s="29">
        <f t="shared" si="2"/>
        <v>0</v>
      </c>
      <c r="L22" s="76"/>
      <c r="M22" s="76"/>
      <c r="N22" s="76"/>
      <c r="O22" s="76">
        <v>2584187</v>
      </c>
      <c r="P22" s="76">
        <v>389681</v>
      </c>
      <c r="Q22" s="76">
        <f>2578271+150000</f>
        <v>2728271</v>
      </c>
      <c r="R22" s="76"/>
      <c r="S22" s="76"/>
      <c r="T22" s="76"/>
      <c r="U22" s="76"/>
      <c r="V22" s="29"/>
      <c r="W22" s="29">
        <f t="shared" si="3"/>
        <v>993568</v>
      </c>
      <c r="X22" s="76"/>
      <c r="Y22" s="76"/>
      <c r="Z22" s="76">
        <f>378070-8580</f>
        <v>369490</v>
      </c>
      <c r="AA22" s="76">
        <f>400000</f>
        <v>400000</v>
      </c>
      <c r="AB22" s="76">
        <f>122285</f>
        <v>122285</v>
      </c>
      <c r="AC22" s="76">
        <f>101793</f>
        <v>101793</v>
      </c>
      <c r="AD22" s="76"/>
      <c r="AE22" s="29">
        <f t="shared" si="4"/>
        <v>726487</v>
      </c>
      <c r="AF22" s="29">
        <v>520387</v>
      </c>
      <c r="AG22" s="29">
        <v>206100</v>
      </c>
      <c r="AH22" s="29">
        <f t="shared" si="5"/>
        <v>2054618</v>
      </c>
      <c r="AI22" s="76">
        <v>769384</v>
      </c>
      <c r="AJ22" s="76">
        <v>947163</v>
      </c>
      <c r="AK22" s="76">
        <f>69969+195912</f>
        <v>265881</v>
      </c>
      <c r="AL22" s="76">
        <v>72190</v>
      </c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>
        <v>2700000</v>
      </c>
      <c r="AZ22" s="76"/>
      <c r="BA22" s="76">
        <v>1000000</v>
      </c>
      <c r="BB22" s="76"/>
      <c r="BC22" s="76">
        <f>550000</f>
        <v>550000</v>
      </c>
      <c r="BD22" s="76"/>
      <c r="BE22" s="76"/>
      <c r="BF22" s="76"/>
      <c r="BG22" s="76"/>
      <c r="BH22" s="76"/>
      <c r="BI22" s="29">
        <v>2282063</v>
      </c>
      <c r="BJ22" s="29"/>
      <c r="BK22" s="29"/>
      <c r="BL22" s="29"/>
      <c r="BM22" s="29">
        <f t="shared" si="0"/>
        <v>368614260</v>
      </c>
      <c r="BN22" s="29"/>
      <c r="BO22" s="29"/>
      <c r="BP22" s="29"/>
      <c r="BQ22" s="76"/>
      <c r="BR22" s="76"/>
      <c r="BS22" s="76"/>
      <c r="BT22" s="76"/>
      <c r="BU22" s="76"/>
      <c r="BV22" s="76">
        <v>106700</v>
      </c>
      <c r="BW22" s="76"/>
      <c r="BX22" s="76"/>
      <c r="BY22" s="76"/>
      <c r="BZ22" s="76"/>
      <c r="CA22" s="76"/>
      <c r="CB22" s="76"/>
      <c r="CC22" s="76"/>
      <c r="CD22" s="76"/>
      <c r="CE22" s="29"/>
      <c r="CF22" s="29"/>
      <c r="CG22" s="29"/>
      <c r="CH22" s="29">
        <f t="shared" si="1"/>
        <v>106700</v>
      </c>
      <c r="CI22" s="76"/>
    </row>
    <row r="23" spans="1:87" ht="59.25" customHeight="1" x14ac:dyDescent="0.8">
      <c r="A23" s="12" t="s">
        <v>22</v>
      </c>
      <c r="B23" s="13" t="s">
        <v>58</v>
      </c>
      <c r="C23" s="28"/>
      <c r="D23" s="28"/>
      <c r="E23" s="28">
        <f>29833400-656100-121000</f>
        <v>29056300</v>
      </c>
      <c r="F23" s="28">
        <v>16588400</v>
      </c>
      <c r="G23" s="28">
        <v>0</v>
      </c>
      <c r="H23" s="76">
        <v>2133924</v>
      </c>
      <c r="I23" s="76"/>
      <c r="J23" s="76"/>
      <c r="K23" s="29">
        <f t="shared" si="2"/>
        <v>0</v>
      </c>
      <c r="L23" s="76"/>
      <c r="M23" s="76"/>
      <c r="N23" s="76"/>
      <c r="O23" s="76">
        <v>559095</v>
      </c>
      <c r="P23" s="76">
        <v>84308</v>
      </c>
      <c r="Q23" s="76">
        <f>721981-85000</f>
        <v>636981</v>
      </c>
      <c r="R23" s="76"/>
      <c r="S23" s="76"/>
      <c r="T23" s="76"/>
      <c r="U23" s="76"/>
      <c r="V23" s="29"/>
      <c r="W23" s="29">
        <f t="shared" si="3"/>
        <v>231453</v>
      </c>
      <c r="X23" s="76"/>
      <c r="Y23" s="76"/>
      <c r="Z23" s="76">
        <f>111703-2535</f>
        <v>109168</v>
      </c>
      <c r="AA23" s="76"/>
      <c r="AB23" s="76">
        <f>122285</f>
        <v>122285</v>
      </c>
      <c r="AC23" s="76"/>
      <c r="AD23" s="76"/>
      <c r="AE23" s="29">
        <f t="shared" si="4"/>
        <v>665265</v>
      </c>
      <c r="AF23" s="29">
        <v>459165</v>
      </c>
      <c r="AG23" s="29">
        <v>206100</v>
      </c>
      <c r="AH23" s="29">
        <f t="shared" si="5"/>
        <v>575627</v>
      </c>
      <c r="AI23" s="76">
        <v>227318</v>
      </c>
      <c r="AJ23" s="76">
        <v>256410</v>
      </c>
      <c r="AK23" s="76">
        <f>125944-55975</f>
        <v>69969</v>
      </c>
      <c r="AL23" s="76">
        <v>21930</v>
      </c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>
        <v>750000</v>
      </c>
      <c r="AZ23" s="76"/>
      <c r="BA23" s="76">
        <v>1000000</v>
      </c>
      <c r="BB23" s="76">
        <v>900000</v>
      </c>
      <c r="BC23" s="76">
        <v>1100000</v>
      </c>
      <c r="BD23" s="76"/>
      <c r="BE23" s="76"/>
      <c r="BF23" s="76"/>
      <c r="BG23" s="76"/>
      <c r="BH23" s="76"/>
      <c r="BI23" s="29">
        <v>1604820</v>
      </c>
      <c r="BJ23" s="29"/>
      <c r="BK23" s="29"/>
      <c r="BL23" s="29"/>
      <c r="BM23" s="29">
        <f t="shared" si="0"/>
        <v>55886173</v>
      </c>
      <c r="BN23" s="29"/>
      <c r="BO23" s="29"/>
      <c r="BP23" s="29"/>
      <c r="BQ23" s="76"/>
      <c r="BR23" s="76"/>
      <c r="BS23" s="76"/>
      <c r="BT23" s="76"/>
      <c r="BU23" s="76"/>
      <c r="BV23" s="76">
        <v>28500</v>
      </c>
      <c r="BW23" s="76"/>
      <c r="BX23" s="76"/>
      <c r="BY23" s="76"/>
      <c r="BZ23" s="76"/>
      <c r="CA23" s="76"/>
      <c r="CB23" s="76"/>
      <c r="CC23" s="76"/>
      <c r="CD23" s="76"/>
      <c r="CE23" s="29"/>
      <c r="CF23" s="29"/>
      <c r="CG23" s="29"/>
      <c r="CH23" s="29">
        <f t="shared" si="1"/>
        <v>28500</v>
      </c>
      <c r="CI23" s="76"/>
    </row>
    <row r="24" spans="1:87" ht="55.5" customHeight="1" x14ac:dyDescent="0.8">
      <c r="A24" s="12" t="s">
        <v>23</v>
      </c>
      <c r="B24" s="13" t="s">
        <v>59</v>
      </c>
      <c r="C24" s="28"/>
      <c r="D24" s="28"/>
      <c r="E24" s="28">
        <f>45505000+888600+694600</f>
        <v>47088200</v>
      </c>
      <c r="F24" s="28">
        <v>84260400</v>
      </c>
      <c r="G24" s="28">
        <f>435800-20300-18100+10200</f>
        <v>407600</v>
      </c>
      <c r="H24" s="76">
        <v>1867605</v>
      </c>
      <c r="I24" s="76"/>
      <c r="J24" s="76"/>
      <c r="K24" s="29">
        <f t="shared" si="2"/>
        <v>0</v>
      </c>
      <c r="L24" s="76"/>
      <c r="M24" s="76"/>
      <c r="N24" s="76"/>
      <c r="O24" s="76"/>
      <c r="P24" s="76"/>
      <c r="Q24" s="76">
        <f>702357+40000</f>
        <v>742357</v>
      </c>
      <c r="R24" s="76">
        <v>784883.96</v>
      </c>
      <c r="S24" s="76"/>
      <c r="T24" s="76"/>
      <c r="U24" s="76"/>
      <c r="V24" s="29"/>
      <c r="W24" s="29">
        <f t="shared" si="3"/>
        <v>3654209</v>
      </c>
      <c r="X24" s="76">
        <v>3545041</v>
      </c>
      <c r="Y24" s="76"/>
      <c r="Z24" s="76">
        <f>111703-2535</f>
        <v>109168</v>
      </c>
      <c r="AA24" s="76"/>
      <c r="AB24" s="76"/>
      <c r="AC24" s="76"/>
      <c r="AD24" s="76"/>
      <c r="AE24" s="29">
        <f t="shared" si="4"/>
        <v>940764</v>
      </c>
      <c r="AF24" s="29">
        <v>734664</v>
      </c>
      <c r="AG24" s="29">
        <v>206100</v>
      </c>
      <c r="AH24" s="29">
        <f t="shared" si="5"/>
        <v>628822</v>
      </c>
      <c r="AI24" s="76">
        <v>227318</v>
      </c>
      <c r="AJ24" s="76">
        <v>282828</v>
      </c>
      <c r="AK24" s="76">
        <v>97956</v>
      </c>
      <c r="AL24" s="76">
        <v>20720</v>
      </c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>
        <v>680000</v>
      </c>
      <c r="AZ24" s="76"/>
      <c r="BA24" s="76"/>
      <c r="BB24" s="76">
        <v>900000</v>
      </c>
      <c r="BC24" s="76">
        <v>1100000</v>
      </c>
      <c r="BD24" s="76"/>
      <c r="BE24" s="76"/>
      <c r="BF24" s="76"/>
      <c r="BG24" s="76"/>
      <c r="BH24" s="76"/>
      <c r="BI24" s="29"/>
      <c r="BJ24" s="29"/>
      <c r="BK24" s="29"/>
      <c r="BL24" s="29"/>
      <c r="BM24" s="29">
        <f t="shared" si="0"/>
        <v>143054840.96000001</v>
      </c>
      <c r="BN24" s="29"/>
      <c r="BO24" s="29"/>
      <c r="BP24" s="29"/>
      <c r="BQ24" s="76"/>
      <c r="BR24" s="76"/>
      <c r="BS24" s="76"/>
      <c r="BT24" s="76">
        <f>3000000-3000000</f>
        <v>0</v>
      </c>
      <c r="BU24" s="76"/>
      <c r="BV24" s="76"/>
      <c r="BW24" s="76"/>
      <c r="BX24" s="76"/>
      <c r="BY24" s="76"/>
      <c r="BZ24" s="76"/>
      <c r="CA24" s="76"/>
      <c r="CB24" s="76"/>
      <c r="CC24" s="76"/>
      <c r="CD24" s="76">
        <f>30800</f>
        <v>30800</v>
      </c>
      <c r="CE24" s="29"/>
      <c r="CF24" s="29">
        <v>3000000</v>
      </c>
      <c r="CG24" s="29"/>
      <c r="CH24" s="29">
        <f t="shared" si="1"/>
        <v>3030800</v>
      </c>
      <c r="CI24" s="76"/>
    </row>
    <row r="25" spans="1:87" ht="55.5" customHeight="1" x14ac:dyDescent="0.8">
      <c r="A25" s="12" t="s">
        <v>24</v>
      </c>
      <c r="B25" s="13" t="s">
        <v>60</v>
      </c>
      <c r="C25" s="28"/>
      <c r="D25" s="28"/>
      <c r="E25" s="28">
        <f>30066200-1514800-20600</f>
        <v>28530800</v>
      </c>
      <c r="F25" s="28">
        <v>17138200</v>
      </c>
      <c r="G25" s="28">
        <f>239900+13600-18000-17300</f>
        <v>218200</v>
      </c>
      <c r="H25" s="76">
        <v>1953973</v>
      </c>
      <c r="I25" s="76"/>
      <c r="J25" s="76"/>
      <c r="K25" s="29">
        <f t="shared" si="2"/>
        <v>0</v>
      </c>
      <c r="L25" s="76"/>
      <c r="M25" s="76"/>
      <c r="N25" s="76"/>
      <c r="O25" s="76">
        <v>536341</v>
      </c>
      <c r="P25" s="76">
        <v>80877</v>
      </c>
      <c r="Q25" s="76">
        <v>1040350</v>
      </c>
      <c r="R25" s="76"/>
      <c r="S25" s="76"/>
      <c r="T25" s="76"/>
      <c r="U25" s="76"/>
      <c r="V25" s="29"/>
      <c r="W25" s="29">
        <f t="shared" si="3"/>
        <v>223055</v>
      </c>
      <c r="X25" s="76"/>
      <c r="Y25" s="76"/>
      <c r="Z25" s="76">
        <f>103110-2340</f>
        <v>100770</v>
      </c>
      <c r="AA25" s="76"/>
      <c r="AB25" s="76">
        <f>122285</f>
        <v>122285</v>
      </c>
      <c r="AC25" s="76"/>
      <c r="AD25" s="76"/>
      <c r="AE25" s="29">
        <f t="shared" si="4"/>
        <v>328544</v>
      </c>
      <c r="AF25" s="29">
        <v>122444</v>
      </c>
      <c r="AG25" s="29">
        <v>206100</v>
      </c>
      <c r="AH25" s="29">
        <f t="shared" si="5"/>
        <v>543957</v>
      </c>
      <c r="AI25" s="76">
        <v>209832</v>
      </c>
      <c r="AJ25" s="76">
        <v>242424</v>
      </c>
      <c r="AK25" s="76">
        <v>69969</v>
      </c>
      <c r="AL25" s="76">
        <v>21732</v>
      </c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>
        <v>550000</v>
      </c>
      <c r="AZ25" s="76"/>
      <c r="BA25" s="76"/>
      <c r="BB25" s="76">
        <v>900000</v>
      </c>
      <c r="BC25" s="76">
        <v>1100000</v>
      </c>
      <c r="BD25" s="76"/>
      <c r="BE25" s="76"/>
      <c r="BF25" s="76"/>
      <c r="BG25" s="76"/>
      <c r="BH25" s="76">
        <v>730000</v>
      </c>
      <c r="BI25" s="29"/>
      <c r="BJ25" s="29"/>
      <c r="BK25" s="29"/>
      <c r="BL25" s="29"/>
      <c r="BM25" s="29">
        <f t="shared" si="0"/>
        <v>53874297</v>
      </c>
      <c r="BN25" s="29"/>
      <c r="BO25" s="29"/>
      <c r="BP25" s="29"/>
      <c r="BQ25" s="76"/>
      <c r="BR25" s="76"/>
      <c r="BS25" s="76"/>
      <c r="BT25" s="76"/>
      <c r="BU25" s="76"/>
      <c r="BV25" s="76">
        <v>28500</v>
      </c>
      <c r="BW25" s="76"/>
      <c r="BX25" s="76"/>
      <c r="BY25" s="76"/>
      <c r="BZ25" s="76"/>
      <c r="CA25" s="76"/>
      <c r="CB25" s="76"/>
      <c r="CC25" s="76"/>
      <c r="CD25" s="76"/>
      <c r="CE25" s="29"/>
      <c r="CF25" s="29"/>
      <c r="CG25" s="29"/>
      <c r="CH25" s="29">
        <f t="shared" si="1"/>
        <v>28500</v>
      </c>
      <c r="CI25" s="76"/>
    </row>
    <row r="26" spans="1:87" ht="59.25" customHeight="1" x14ac:dyDescent="0.8">
      <c r="A26" s="12"/>
      <c r="B26" s="13" t="s">
        <v>50</v>
      </c>
      <c r="C26" s="28">
        <f t="shared" ref="C26:J26" si="6">C13+C14+C15+C16+C17+C18+C19+C20+C21+C22+C23+C24+C25</f>
        <v>0</v>
      </c>
      <c r="D26" s="28">
        <v>0</v>
      </c>
      <c r="E26" s="28">
        <f t="shared" si="6"/>
        <v>2878964000</v>
      </c>
      <c r="F26" s="28">
        <f t="shared" si="6"/>
        <v>3806851300</v>
      </c>
      <c r="G26" s="28">
        <f t="shared" si="6"/>
        <v>6595800</v>
      </c>
      <c r="H26" s="28">
        <f t="shared" si="6"/>
        <v>59068467</v>
      </c>
      <c r="I26" s="28">
        <f t="shared" si="6"/>
        <v>730000</v>
      </c>
      <c r="J26" s="28">
        <f t="shared" si="6"/>
        <v>1114357</v>
      </c>
      <c r="K26" s="28">
        <f t="shared" ref="K26:U26" si="7">K13+K14+K15+K16+K17+K18+K19+K20+K21+K22+K23+K24+K25</f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49870011</v>
      </c>
      <c r="P26" s="28">
        <f t="shared" si="7"/>
        <v>7520097.3900000006</v>
      </c>
      <c r="Q26" s="28">
        <f t="shared" si="7"/>
        <v>64881408</v>
      </c>
      <c r="R26" s="28">
        <f t="shared" si="7"/>
        <v>14140172.259999998</v>
      </c>
      <c r="S26" s="28">
        <f t="shared" si="7"/>
        <v>0</v>
      </c>
      <c r="T26" s="28">
        <f t="shared" si="7"/>
        <v>2901985.04</v>
      </c>
      <c r="U26" s="28">
        <f t="shared" si="7"/>
        <v>12302000</v>
      </c>
      <c r="V26" s="30"/>
      <c r="W26" s="29">
        <f t="shared" si="3"/>
        <v>37531461</v>
      </c>
      <c r="X26" s="28">
        <f t="shared" ref="X26:AD26" si="8">X13+X14+X15+X16+X17+X18+X19+X20+X21+X22+X23+X24+X25</f>
        <v>24180162</v>
      </c>
      <c r="Y26" s="28">
        <f t="shared" si="8"/>
        <v>0</v>
      </c>
      <c r="Z26" s="28">
        <f t="shared" si="8"/>
        <v>6520584</v>
      </c>
      <c r="AA26" s="28">
        <f t="shared" si="8"/>
        <v>1200000</v>
      </c>
      <c r="AB26" s="28">
        <f t="shared" si="8"/>
        <v>4157715</v>
      </c>
      <c r="AC26" s="28">
        <f t="shared" si="8"/>
        <v>1473000</v>
      </c>
      <c r="AD26" s="28">
        <f t="shared" si="8"/>
        <v>0</v>
      </c>
      <c r="AE26" s="29">
        <f t="shared" si="4"/>
        <v>43083283</v>
      </c>
      <c r="AF26" s="30">
        <f>SUM(AF13:AF25)</f>
        <v>39579883</v>
      </c>
      <c r="AG26" s="30">
        <f>SUM(AG13:AG25)</f>
        <v>3503400</v>
      </c>
      <c r="AH26" s="29">
        <f t="shared" si="5"/>
        <v>43276153</v>
      </c>
      <c r="AI26" s="28">
        <f>SUM(AI13:AI25)</f>
        <v>16032000</v>
      </c>
      <c r="AJ26" s="28">
        <f>SUM(AJ13:AJ25)</f>
        <v>19902496</v>
      </c>
      <c r="AK26" s="28">
        <f>SUM(AK13:AK25)</f>
        <v>6283447</v>
      </c>
      <c r="AL26" s="28">
        <f>SUM(AL13:AL25)</f>
        <v>1058210</v>
      </c>
      <c r="AM26" s="28">
        <f>AM13+AM14+AM15+AM16+AM17+AM18+AM19+AM20+AM21+AM22+AM23+AM24+AM25</f>
        <v>0</v>
      </c>
      <c r="AN26" s="28">
        <f>AN13+AN14+AN15+AN16+AN17+AN18+AN19+AN20+AN21+AN22+AN23+AN24+AN25</f>
        <v>0</v>
      </c>
      <c r="AO26" s="28"/>
      <c r="AP26" s="28"/>
      <c r="AQ26" s="28">
        <f>AQ13+AQ14+AQ15+AQ16+AQ17+AQ18+AQ19+AQ20+AQ21+AQ22+AQ23+AQ24+AQ25</f>
        <v>0</v>
      </c>
      <c r="AR26" s="28"/>
      <c r="AS26" s="28">
        <f>AS13+AS14+AS15+AS16+AS17+AS18+AS19+AS20+AS21+AS22+AS23+AS24+AS25</f>
        <v>0</v>
      </c>
      <c r="AT26" s="28">
        <f>AT13+AT14+AT15+AT16+AT17+AT18+AT19+AT20+AT21+AT22+AT23+AT24+AT25</f>
        <v>0</v>
      </c>
      <c r="AU26" s="28"/>
      <c r="AV26" s="28"/>
      <c r="AW26" s="28">
        <f>AW13+AW14+AW15+AW16+AW17+AW18+AW19+AW20+AW21+AW22+AW23+AW24+AW25</f>
        <v>0</v>
      </c>
      <c r="AX26" s="28">
        <f>AX13+AX14+AX15+AX16+AX17+AX18+AX19+AX20+AX21+AX22+AX23+AX24+AX25</f>
        <v>0</v>
      </c>
      <c r="AY26" s="28">
        <f>AY13+AY14+AY15+AY16+AY17+AY18+AY19+AY20+AY21+AY22+AY23+AY24+AY25</f>
        <v>41285000</v>
      </c>
      <c r="AZ26" s="28">
        <f t="shared" ref="AZ26:BG26" si="9">AZ13+AZ14+AZ15+AZ16+AZ17+AZ18+AZ19+AZ20+AZ21+AZ22+AZ23+AZ24+AZ25</f>
        <v>789500</v>
      </c>
      <c r="BA26" s="28">
        <f t="shared" si="9"/>
        <v>6000000</v>
      </c>
      <c r="BB26" s="28">
        <f t="shared" si="9"/>
        <v>9000000</v>
      </c>
      <c r="BC26" s="28">
        <f t="shared" si="9"/>
        <v>14300000</v>
      </c>
      <c r="BD26" s="28">
        <f t="shared" si="9"/>
        <v>104000</v>
      </c>
      <c r="BE26" s="28">
        <f t="shared" si="9"/>
        <v>20000000</v>
      </c>
      <c r="BF26" s="28">
        <f t="shared" si="9"/>
        <v>0</v>
      </c>
      <c r="BG26" s="28">
        <f t="shared" si="9"/>
        <v>0</v>
      </c>
      <c r="BH26" s="28">
        <f>BH13+BH14+BH15+BH16+BH17+BH18+BH19+BH20+BH21+BH22+BH23+BH24+BH25</f>
        <v>1305000</v>
      </c>
      <c r="BI26" s="28">
        <f>BI13+BI14+BI15+BI16+BI17+BI18+BI19+BI20+BI21+BI22+BI23+BI24+BI25</f>
        <v>9151624</v>
      </c>
      <c r="BJ26" s="28">
        <f>BJ13+BJ14+BJ15+BJ16+BJ17+BJ18+BJ19+BJ20+BJ21+BJ22+BJ23+BJ24+BJ25</f>
        <v>18000000</v>
      </c>
      <c r="BK26" s="28">
        <f>BK13+BK14+BK15+BK16+BK17+BK18+BK19+BK20+BK21+BK22+BK23+BK24+BK25</f>
        <v>100000</v>
      </c>
      <c r="BL26" s="30"/>
      <c r="BM26" s="29">
        <f t="shared" si="0"/>
        <v>7148865618.6900005</v>
      </c>
      <c r="BN26" s="28">
        <f t="shared" ref="BN26:CG26" si="10">BN13+BN14+BN15+BN16+BN17+BN18+BN19+BN20+BN21+BN22+BN23+BN24+BN25</f>
        <v>0</v>
      </c>
      <c r="BO26" s="28">
        <f t="shared" si="10"/>
        <v>1000000</v>
      </c>
      <c r="BP26" s="28"/>
      <c r="BQ26" s="28">
        <f t="shared" si="10"/>
        <v>0</v>
      </c>
      <c r="BR26" s="28">
        <f t="shared" si="10"/>
        <v>26100000</v>
      </c>
      <c r="BS26" s="28">
        <f t="shared" si="10"/>
        <v>0</v>
      </c>
      <c r="BT26" s="28">
        <f t="shared" si="10"/>
        <v>2500000</v>
      </c>
      <c r="BU26" s="28">
        <f t="shared" si="10"/>
        <v>73086</v>
      </c>
      <c r="BV26" s="28">
        <f t="shared" si="10"/>
        <v>466800</v>
      </c>
      <c r="BW26" s="28">
        <f t="shared" si="10"/>
        <v>2150000</v>
      </c>
      <c r="BX26" s="28">
        <f t="shared" si="10"/>
        <v>150000</v>
      </c>
      <c r="BY26" s="28">
        <f t="shared" si="10"/>
        <v>4000000</v>
      </c>
      <c r="BZ26" s="28">
        <f t="shared" si="10"/>
        <v>1000000</v>
      </c>
      <c r="CA26" s="28">
        <f t="shared" si="10"/>
        <v>0</v>
      </c>
      <c r="CB26" s="28">
        <f t="shared" si="10"/>
        <v>79798</v>
      </c>
      <c r="CC26" s="28">
        <f t="shared" si="10"/>
        <v>1239200</v>
      </c>
      <c r="CD26" s="28">
        <f t="shared" si="10"/>
        <v>1129500</v>
      </c>
      <c r="CE26" s="28">
        <f t="shared" si="10"/>
        <v>14500000</v>
      </c>
      <c r="CF26" s="28">
        <f t="shared" si="10"/>
        <v>3000000</v>
      </c>
      <c r="CG26" s="28">
        <f t="shared" si="10"/>
        <v>0</v>
      </c>
      <c r="CH26" s="29">
        <f t="shared" si="1"/>
        <v>57388384</v>
      </c>
      <c r="CI26" s="28">
        <f>CI13+CI14+CI15+CI16+CI17+CI18+CI19+CI20+CI21+CI22+CI23+CI24+CI25</f>
        <v>0</v>
      </c>
    </row>
    <row r="27" spans="1:87" ht="63" customHeight="1" x14ac:dyDescent="0.8">
      <c r="A27" s="12" t="s">
        <v>25</v>
      </c>
      <c r="B27" s="13" t="s">
        <v>49</v>
      </c>
      <c r="C27" s="28"/>
      <c r="D27" s="28"/>
      <c r="E27" s="28">
        <f>89909900-641900+1129200</f>
        <v>90397200</v>
      </c>
      <c r="F27" s="28">
        <v>127467300</v>
      </c>
      <c r="G27" s="28">
        <f>2326300+178300-56100-78100</f>
        <v>2370400</v>
      </c>
      <c r="H27" s="76">
        <f>7901641-1404000</f>
        <v>6497641</v>
      </c>
      <c r="I27" s="76"/>
      <c r="J27" s="76"/>
      <c r="K27" s="29">
        <f>L27+M27+N27</f>
        <v>0</v>
      </c>
      <c r="L27" s="76"/>
      <c r="M27" s="76"/>
      <c r="N27" s="76"/>
      <c r="O27" s="76"/>
      <c r="P27" s="76"/>
      <c r="Q27" s="76"/>
      <c r="R27" s="76">
        <v>528920.01</v>
      </c>
      <c r="S27" s="76"/>
      <c r="T27" s="76"/>
      <c r="U27" s="76"/>
      <c r="V27" s="29"/>
      <c r="W27" s="29">
        <f t="shared" si="3"/>
        <v>0</v>
      </c>
      <c r="X27" s="76"/>
      <c r="Y27" s="76"/>
      <c r="Z27" s="76"/>
      <c r="AA27" s="76"/>
      <c r="AB27" s="76"/>
      <c r="AC27" s="76"/>
      <c r="AD27" s="76"/>
      <c r="AE27" s="29">
        <f t="shared" si="4"/>
        <v>0</v>
      </c>
      <c r="AF27" s="29"/>
      <c r="AG27" s="29"/>
      <c r="AH27" s="29">
        <f t="shared" si="5"/>
        <v>0</v>
      </c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>
        <f>300000+500000</f>
        <v>800000</v>
      </c>
      <c r="AY27" s="76">
        <f>300000-100000</f>
        <v>200000</v>
      </c>
      <c r="AZ27" s="76"/>
      <c r="BA27" s="76"/>
      <c r="BB27" s="76"/>
      <c r="BC27" s="76"/>
      <c r="BD27" s="76"/>
      <c r="BE27" s="76"/>
      <c r="BF27" s="76">
        <v>91000</v>
      </c>
      <c r="BG27" s="76"/>
      <c r="BH27" s="76"/>
      <c r="BI27" s="29"/>
      <c r="BJ27" s="29"/>
      <c r="BK27" s="29"/>
      <c r="BL27" s="29"/>
      <c r="BM27" s="29">
        <f t="shared" si="0"/>
        <v>228352461.00999999</v>
      </c>
      <c r="BN27" s="29"/>
      <c r="BO27" s="29"/>
      <c r="BP27" s="29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29"/>
      <c r="CF27" s="29"/>
      <c r="CG27" s="29"/>
      <c r="CH27" s="29">
        <f t="shared" si="1"/>
        <v>0</v>
      </c>
      <c r="CI27" s="76"/>
    </row>
    <row r="28" spans="1:87" ht="66.75" customHeight="1" x14ac:dyDescent="0.8">
      <c r="A28" s="12" t="s">
        <v>26</v>
      </c>
      <c r="B28" s="13" t="s">
        <v>61</v>
      </c>
      <c r="C28" s="28"/>
      <c r="D28" s="28">
        <f>3470300+3544400</f>
        <v>7014700</v>
      </c>
      <c r="E28" s="28">
        <f>65711600+409300+1707300</f>
        <v>67828200</v>
      </c>
      <c r="F28" s="28">
        <v>71209300</v>
      </c>
      <c r="G28" s="28">
        <f>2186600-148700-142300+251800</f>
        <v>2147400</v>
      </c>
      <c r="H28" s="76">
        <v>2654601</v>
      </c>
      <c r="I28" s="76"/>
      <c r="J28" s="76"/>
      <c r="K28" s="29">
        <f t="shared" ref="K28:K48" si="11">L28+M28+N28</f>
        <v>0</v>
      </c>
      <c r="L28" s="76"/>
      <c r="M28" s="76"/>
      <c r="N28" s="76"/>
      <c r="O28" s="76"/>
      <c r="P28" s="76"/>
      <c r="Q28" s="76">
        <v>832696</v>
      </c>
      <c r="R28" s="76"/>
      <c r="S28" s="76"/>
      <c r="T28" s="76"/>
      <c r="U28" s="76"/>
      <c r="V28" s="29"/>
      <c r="W28" s="29">
        <f t="shared" si="3"/>
        <v>1445309</v>
      </c>
      <c r="X28" s="76"/>
      <c r="Y28" s="76">
        <v>1339500</v>
      </c>
      <c r="Z28" s="76">
        <f>156384-50575</f>
        <v>105809</v>
      </c>
      <c r="AA28" s="76"/>
      <c r="AB28" s="76"/>
      <c r="AC28" s="76"/>
      <c r="AD28" s="76"/>
      <c r="AE28" s="29">
        <f t="shared" si="4"/>
        <v>420377</v>
      </c>
      <c r="AF28" s="29">
        <f>275499-61222</f>
        <v>214277</v>
      </c>
      <c r="AG28" s="29">
        <v>206100</v>
      </c>
      <c r="AH28" s="29">
        <f t="shared" si="5"/>
        <v>485534</v>
      </c>
      <c r="AI28" s="76">
        <v>202338</v>
      </c>
      <c r="AJ28" s="76">
        <v>115884</v>
      </c>
      <c r="AK28" s="76">
        <v>143936</v>
      </c>
      <c r="AL28" s="76">
        <v>23376</v>
      </c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>
        <f>250000-10000</f>
        <v>240000</v>
      </c>
      <c r="AZ28" s="76"/>
      <c r="BA28" s="76"/>
      <c r="BB28" s="76"/>
      <c r="BC28" s="76"/>
      <c r="BD28" s="76"/>
      <c r="BE28" s="76"/>
      <c r="BF28" s="76">
        <f>91000+14000+51000</f>
        <v>156000</v>
      </c>
      <c r="BG28" s="76"/>
      <c r="BH28" s="76">
        <v>350000</v>
      </c>
      <c r="BI28" s="29"/>
      <c r="BJ28" s="29"/>
      <c r="BK28" s="29"/>
      <c r="BL28" s="29"/>
      <c r="BM28" s="29">
        <f t="shared" si="0"/>
        <v>154784117</v>
      </c>
      <c r="BN28" s="29"/>
      <c r="BO28" s="29"/>
      <c r="BP28" s="29"/>
      <c r="BQ28" s="76"/>
      <c r="BR28" s="76"/>
      <c r="BS28" s="76"/>
      <c r="BT28" s="76"/>
      <c r="BU28" s="76"/>
      <c r="BV28" s="76">
        <v>11700</v>
      </c>
      <c r="BW28" s="76"/>
      <c r="BX28" s="76"/>
      <c r="BY28" s="76"/>
      <c r="BZ28" s="76"/>
      <c r="CA28" s="76"/>
      <c r="CB28" s="76"/>
      <c r="CC28" s="76"/>
      <c r="CD28" s="76"/>
      <c r="CE28" s="29"/>
      <c r="CF28" s="29"/>
      <c r="CG28" s="29"/>
      <c r="CH28" s="29">
        <f t="shared" si="1"/>
        <v>11700</v>
      </c>
      <c r="CI28" s="76"/>
    </row>
    <row r="29" spans="1:87" ht="63" customHeight="1" x14ac:dyDescent="0.8">
      <c r="A29" s="12" t="s">
        <v>27</v>
      </c>
      <c r="B29" s="13" t="s">
        <v>62</v>
      </c>
      <c r="C29" s="28"/>
      <c r="D29" s="28">
        <f>6020900+6149500</f>
        <v>12170400</v>
      </c>
      <c r="E29" s="28">
        <f>102926200-1285800+314000</f>
        <v>101954400</v>
      </c>
      <c r="F29" s="28">
        <v>114194000</v>
      </c>
      <c r="G29" s="28">
        <f>2743600+657400-82400-163300</f>
        <v>3155300</v>
      </c>
      <c r="H29" s="76">
        <f>10482118-294000</f>
        <v>10188118</v>
      </c>
      <c r="I29" s="76"/>
      <c r="J29" s="76"/>
      <c r="K29" s="29">
        <f t="shared" si="11"/>
        <v>0</v>
      </c>
      <c r="L29" s="76"/>
      <c r="M29" s="76"/>
      <c r="N29" s="76"/>
      <c r="O29" s="76">
        <v>841892</v>
      </c>
      <c r="P29" s="76">
        <v>126953</v>
      </c>
      <c r="Q29" s="76">
        <f>1173950-150000</f>
        <v>1023950</v>
      </c>
      <c r="R29" s="76"/>
      <c r="S29" s="76"/>
      <c r="T29" s="76"/>
      <c r="U29" s="76">
        <f>166250</f>
        <v>166250</v>
      </c>
      <c r="V29" s="29"/>
      <c r="W29" s="29">
        <f t="shared" si="3"/>
        <v>5265469</v>
      </c>
      <c r="X29" s="76">
        <v>3545041</v>
      </c>
      <c r="Y29" s="76">
        <v>1339500</v>
      </c>
      <c r="Z29" s="76">
        <f>324797-66154</f>
        <v>258643</v>
      </c>
      <c r="AA29" s="76"/>
      <c r="AB29" s="76">
        <f>122285</f>
        <v>122285</v>
      </c>
      <c r="AC29" s="76"/>
      <c r="AD29" s="76"/>
      <c r="AE29" s="29">
        <f t="shared" si="4"/>
        <v>206100</v>
      </c>
      <c r="AF29" s="29"/>
      <c r="AG29" s="29">
        <v>206100</v>
      </c>
      <c r="AH29" s="29">
        <f t="shared" si="5"/>
        <v>1130205</v>
      </c>
      <c r="AI29" s="76">
        <v>494604</v>
      </c>
      <c r="AJ29" s="76">
        <v>389610</v>
      </c>
      <c r="AK29" s="76">
        <v>197911</v>
      </c>
      <c r="AL29" s="76">
        <v>48080</v>
      </c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>
        <f>630000-20000</f>
        <v>610000</v>
      </c>
      <c r="AZ29" s="76"/>
      <c r="BA29" s="76"/>
      <c r="BB29" s="76"/>
      <c r="BC29" s="76"/>
      <c r="BD29" s="76"/>
      <c r="BE29" s="76"/>
      <c r="BF29" s="76">
        <f>91000+70000</f>
        <v>161000</v>
      </c>
      <c r="BG29" s="76"/>
      <c r="BH29" s="76"/>
      <c r="BI29" s="29"/>
      <c r="BJ29" s="29"/>
      <c r="BK29" s="29"/>
      <c r="BL29" s="29"/>
      <c r="BM29" s="29">
        <f t="shared" si="0"/>
        <v>251194037</v>
      </c>
      <c r="BN29" s="29"/>
      <c r="BO29" s="29"/>
      <c r="BP29" s="29"/>
      <c r="BQ29" s="76"/>
      <c r="BR29" s="76"/>
      <c r="BS29" s="76"/>
      <c r="BT29" s="76"/>
      <c r="BU29" s="76"/>
      <c r="BV29" s="76">
        <v>37000</v>
      </c>
      <c r="BW29" s="76"/>
      <c r="BX29" s="76"/>
      <c r="BY29" s="76"/>
      <c r="BZ29" s="76"/>
      <c r="CA29" s="76"/>
      <c r="CB29" s="76"/>
      <c r="CC29" s="76"/>
      <c r="CD29" s="76"/>
      <c r="CE29" s="29"/>
      <c r="CF29" s="29"/>
      <c r="CG29" s="29"/>
      <c r="CH29" s="29">
        <f t="shared" si="1"/>
        <v>37000</v>
      </c>
      <c r="CI29" s="76"/>
    </row>
    <row r="30" spans="1:87" ht="63" customHeight="1" x14ac:dyDescent="0.8">
      <c r="A30" s="12" t="s">
        <v>28</v>
      </c>
      <c r="B30" s="13" t="s">
        <v>84</v>
      </c>
      <c r="C30" s="28"/>
      <c r="D30" s="28">
        <f>4178300+275200</f>
        <v>4453500</v>
      </c>
      <c r="E30" s="28">
        <f>108024600-2081700-518700</f>
        <v>105424200</v>
      </c>
      <c r="F30" s="28">
        <v>106698800</v>
      </c>
      <c r="G30" s="28">
        <f>1623000-377800+294200+12500</f>
        <v>1551900</v>
      </c>
      <c r="H30" s="76">
        <v>1724332</v>
      </c>
      <c r="I30" s="76"/>
      <c r="J30" s="76"/>
      <c r="K30" s="29">
        <f t="shared" si="11"/>
        <v>205100</v>
      </c>
      <c r="L30" s="76"/>
      <c r="M30" s="76">
        <v>203100</v>
      </c>
      <c r="N30" s="76">
        <v>2000</v>
      </c>
      <c r="O30" s="76">
        <v>1413989</v>
      </c>
      <c r="P30" s="76">
        <v>213221</v>
      </c>
      <c r="Q30" s="76">
        <v>1591001</v>
      </c>
      <c r="R30" s="76">
        <v>1990457.93</v>
      </c>
      <c r="S30" s="76">
        <v>972121.86</v>
      </c>
      <c r="T30" s="76">
        <v>784883.96</v>
      </c>
      <c r="U30" s="76"/>
      <c r="V30" s="29"/>
      <c r="W30" s="29">
        <f t="shared" si="3"/>
        <v>305669</v>
      </c>
      <c r="X30" s="76"/>
      <c r="Y30" s="76"/>
      <c r="Z30" s="76">
        <f>324797-19128</f>
        <v>305669</v>
      </c>
      <c r="AA30" s="76"/>
      <c r="AB30" s="76"/>
      <c r="AC30" s="76"/>
      <c r="AD30" s="76"/>
      <c r="AE30" s="29">
        <f t="shared" si="4"/>
        <v>61222</v>
      </c>
      <c r="AF30" s="29">
        <v>61222</v>
      </c>
      <c r="AG30" s="29"/>
      <c r="AH30" s="29">
        <f t="shared" si="5"/>
        <v>1464675</v>
      </c>
      <c r="AI30" s="76">
        <v>584532</v>
      </c>
      <c r="AJ30" s="76">
        <v>539460</v>
      </c>
      <c r="AK30" s="76">
        <v>305863</v>
      </c>
      <c r="AL30" s="76">
        <v>34820</v>
      </c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>
        <v>1520000</v>
      </c>
      <c r="AZ30" s="76"/>
      <c r="BA30" s="76"/>
      <c r="BB30" s="76"/>
      <c r="BC30" s="76"/>
      <c r="BD30" s="76"/>
      <c r="BE30" s="76"/>
      <c r="BF30" s="76">
        <v>91000</v>
      </c>
      <c r="BG30" s="76"/>
      <c r="BH30" s="76">
        <v>200000</v>
      </c>
      <c r="BI30" s="29"/>
      <c r="BJ30" s="29"/>
      <c r="BK30" s="29">
        <v>10000000</v>
      </c>
      <c r="BL30" s="29"/>
      <c r="BM30" s="29">
        <f t="shared" si="0"/>
        <v>240666072.75000003</v>
      </c>
      <c r="BN30" s="29"/>
      <c r="BO30" s="29"/>
      <c r="BP30" s="29"/>
      <c r="BQ30" s="76"/>
      <c r="BR30" s="76"/>
      <c r="BS30" s="76"/>
      <c r="BT30" s="76">
        <f>2500000-2500000</f>
        <v>0</v>
      </c>
      <c r="BU30" s="76"/>
      <c r="BV30" s="76">
        <f>48700</f>
        <v>48700</v>
      </c>
      <c r="BW30" s="76"/>
      <c r="BX30" s="76"/>
      <c r="BY30" s="76"/>
      <c r="BZ30" s="76"/>
      <c r="CA30" s="76"/>
      <c r="CB30" s="76"/>
      <c r="CC30" s="76"/>
      <c r="CD30" s="76"/>
      <c r="CE30" s="29"/>
      <c r="CF30" s="29"/>
      <c r="CG30" s="29"/>
      <c r="CH30" s="29">
        <f t="shared" si="1"/>
        <v>48700</v>
      </c>
      <c r="CI30" s="76"/>
    </row>
    <row r="31" spans="1:87" ht="59.25" customHeight="1" x14ac:dyDescent="0.8">
      <c r="A31" s="12" t="s">
        <v>29</v>
      </c>
      <c r="B31" s="13" t="s">
        <v>63</v>
      </c>
      <c r="C31" s="28"/>
      <c r="D31" s="28">
        <v>7271800</v>
      </c>
      <c r="E31" s="28">
        <f>60813000-904400+1030600</f>
        <v>60939200</v>
      </c>
      <c r="F31" s="28">
        <v>68617300</v>
      </c>
      <c r="G31" s="28">
        <f>1959600-191100+345600+41300</f>
        <v>2155400</v>
      </c>
      <c r="H31" s="76">
        <v>1663458</v>
      </c>
      <c r="I31" s="76"/>
      <c r="J31" s="76"/>
      <c r="K31" s="29">
        <f t="shared" si="11"/>
        <v>0</v>
      </c>
      <c r="L31" s="76"/>
      <c r="M31" s="76"/>
      <c r="N31" s="76"/>
      <c r="O31" s="76">
        <v>718372</v>
      </c>
      <c r="P31" s="76">
        <v>108326</v>
      </c>
      <c r="Q31" s="76">
        <v>880041</v>
      </c>
      <c r="R31" s="76">
        <f>637150.01</f>
        <v>637150.01</v>
      </c>
      <c r="S31" s="76"/>
      <c r="T31" s="76"/>
      <c r="U31" s="76"/>
      <c r="V31" s="29"/>
      <c r="W31" s="29">
        <f t="shared" si="3"/>
        <v>2984669</v>
      </c>
      <c r="X31" s="76"/>
      <c r="Y31" s="76">
        <f>2679000</f>
        <v>2679000</v>
      </c>
      <c r="Z31" s="76">
        <f>312767-7098</f>
        <v>305669</v>
      </c>
      <c r="AA31" s="76"/>
      <c r="AB31" s="76"/>
      <c r="AC31" s="76"/>
      <c r="AD31" s="76"/>
      <c r="AE31" s="29">
        <f t="shared" si="4"/>
        <v>206100</v>
      </c>
      <c r="AF31" s="29"/>
      <c r="AG31" s="29">
        <v>206100</v>
      </c>
      <c r="AH31" s="29">
        <f t="shared" si="5"/>
        <v>1387449</v>
      </c>
      <c r="AI31" s="76">
        <v>584532</v>
      </c>
      <c r="AJ31" s="76">
        <v>392607</v>
      </c>
      <c r="AK31" s="76">
        <v>359838</v>
      </c>
      <c r="AL31" s="76">
        <v>50472</v>
      </c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>
        <f>550000+500000</f>
        <v>1050000</v>
      </c>
      <c r="AZ31" s="77"/>
      <c r="BA31" s="77"/>
      <c r="BB31" s="77"/>
      <c r="BC31" s="77"/>
      <c r="BD31" s="77"/>
      <c r="BE31" s="77"/>
      <c r="BF31" s="77">
        <f>91000+85000</f>
        <v>176000</v>
      </c>
      <c r="BG31" s="77"/>
      <c r="BH31" s="77">
        <f>985000+1000000</f>
        <v>1985000</v>
      </c>
      <c r="BI31" s="39"/>
      <c r="BJ31" s="39"/>
      <c r="BK31" s="39"/>
      <c r="BL31" s="39"/>
      <c r="BM31" s="29">
        <f t="shared" si="0"/>
        <v>150780265.00999999</v>
      </c>
      <c r="BN31" s="29"/>
      <c r="BO31" s="29"/>
      <c r="BP31" s="29"/>
      <c r="BQ31" s="77"/>
      <c r="BR31" s="77"/>
      <c r="BS31" s="77"/>
      <c r="BT31" s="77"/>
      <c r="BU31" s="77"/>
      <c r="BV31" s="77">
        <v>45200</v>
      </c>
      <c r="BW31" s="77"/>
      <c r="BX31" s="77"/>
      <c r="BY31" s="77"/>
      <c r="BZ31" s="77"/>
      <c r="CA31" s="77"/>
      <c r="CB31" s="77"/>
      <c r="CC31" s="77"/>
      <c r="CD31" s="77"/>
      <c r="CE31" s="39"/>
      <c r="CF31" s="39"/>
      <c r="CG31" s="39"/>
      <c r="CH31" s="29">
        <f t="shared" si="1"/>
        <v>45200</v>
      </c>
      <c r="CI31" s="77"/>
    </row>
    <row r="32" spans="1:87" ht="63" customHeight="1" x14ac:dyDescent="0.8">
      <c r="A32" s="12" t="s">
        <v>30</v>
      </c>
      <c r="B32" s="13" t="s">
        <v>64</v>
      </c>
      <c r="C32" s="28"/>
      <c r="D32" s="28">
        <f>3296900+3367300</f>
        <v>6664200</v>
      </c>
      <c r="E32" s="28">
        <f>65707900-2046400+114700</f>
        <v>63776200</v>
      </c>
      <c r="F32" s="28">
        <v>87213000</v>
      </c>
      <c r="G32" s="28">
        <f>1933700+516500-35100+8400</f>
        <v>2423500</v>
      </c>
      <c r="H32" s="76">
        <v>3468939</v>
      </c>
      <c r="I32" s="76">
        <f>749000+200000</f>
        <v>949000</v>
      </c>
      <c r="J32" s="76"/>
      <c r="K32" s="29">
        <f t="shared" si="11"/>
        <v>0</v>
      </c>
      <c r="L32" s="76"/>
      <c r="M32" s="76"/>
      <c r="N32" s="76"/>
      <c r="O32" s="76">
        <v>676114</v>
      </c>
      <c r="P32" s="76">
        <v>101954</v>
      </c>
      <c r="Q32" s="76">
        <f>678797-124041-200000</f>
        <v>354756</v>
      </c>
      <c r="R32" s="76">
        <v>1461537.92</v>
      </c>
      <c r="S32" s="76"/>
      <c r="T32" s="76"/>
      <c r="U32" s="76"/>
      <c r="V32" s="29"/>
      <c r="W32" s="29">
        <f t="shared" si="3"/>
        <v>176348</v>
      </c>
      <c r="X32" s="76"/>
      <c r="Y32" s="76"/>
      <c r="Z32" s="76">
        <f>180443-4095</f>
        <v>176348</v>
      </c>
      <c r="AA32" s="76"/>
      <c r="AB32" s="76"/>
      <c r="AC32" s="76"/>
      <c r="AD32" s="76"/>
      <c r="AE32" s="29">
        <f t="shared" si="4"/>
        <v>61222</v>
      </c>
      <c r="AF32" s="29">
        <v>61222</v>
      </c>
      <c r="AG32" s="29"/>
      <c r="AH32" s="29">
        <f t="shared" si="5"/>
        <v>852538</v>
      </c>
      <c r="AI32" s="76">
        <v>337230</v>
      </c>
      <c r="AJ32" s="76">
        <v>202797</v>
      </c>
      <c r="AK32" s="76">
        <v>287871</v>
      </c>
      <c r="AL32" s="76">
        <v>24640</v>
      </c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>
        <v>270000</v>
      </c>
      <c r="AZ32" s="77"/>
      <c r="BA32" s="77"/>
      <c r="BB32" s="77"/>
      <c r="BC32" s="77"/>
      <c r="BD32" s="77"/>
      <c r="BE32" s="77"/>
      <c r="BF32" s="77">
        <v>91000</v>
      </c>
      <c r="BG32" s="77"/>
      <c r="BH32" s="77"/>
      <c r="BI32" s="39"/>
      <c r="BJ32" s="39"/>
      <c r="BK32" s="39"/>
      <c r="BL32" s="39"/>
      <c r="BM32" s="29">
        <f t="shared" si="0"/>
        <v>168540308.91999999</v>
      </c>
      <c r="BN32" s="29"/>
      <c r="BO32" s="29"/>
      <c r="BP32" s="29"/>
      <c r="BQ32" s="77"/>
      <c r="BR32" s="77"/>
      <c r="BS32" s="77"/>
      <c r="BT32" s="77"/>
      <c r="BU32" s="77"/>
      <c r="BV32" s="77">
        <v>15362</v>
      </c>
      <c r="BW32" s="77"/>
      <c r="BX32" s="77"/>
      <c r="BY32" s="77"/>
      <c r="BZ32" s="77"/>
      <c r="CA32" s="77"/>
      <c r="CB32" s="77"/>
      <c r="CC32" s="77"/>
      <c r="CD32" s="77"/>
      <c r="CE32" s="39"/>
      <c r="CF32" s="39"/>
      <c r="CG32" s="39"/>
      <c r="CH32" s="29">
        <f t="shared" si="1"/>
        <v>15362</v>
      </c>
      <c r="CI32" s="77"/>
    </row>
    <row r="33" spans="1:87" ht="66.75" customHeight="1" x14ac:dyDescent="0.8">
      <c r="A33" s="12" t="s">
        <v>31</v>
      </c>
      <c r="B33" s="13" t="s">
        <v>65</v>
      </c>
      <c r="C33" s="28"/>
      <c r="D33" s="28">
        <f>4848600+4952000</f>
        <v>9800600</v>
      </c>
      <c r="E33" s="28">
        <f>57699700+1363700+37900</f>
        <v>59101300</v>
      </c>
      <c r="F33" s="28">
        <v>75819900</v>
      </c>
      <c r="G33" s="28">
        <f>1032900+128400-47600+49600</f>
        <v>1163300</v>
      </c>
      <c r="H33" s="76">
        <v>2141617</v>
      </c>
      <c r="I33" s="76"/>
      <c r="J33" s="76"/>
      <c r="K33" s="29">
        <f t="shared" si="11"/>
        <v>207300</v>
      </c>
      <c r="L33" s="76"/>
      <c r="M33" s="76">
        <v>205700</v>
      </c>
      <c r="N33" s="76">
        <v>1600</v>
      </c>
      <c r="O33" s="76">
        <v>728123</v>
      </c>
      <c r="P33" s="76">
        <v>109797</v>
      </c>
      <c r="Q33" s="76">
        <v>613009</v>
      </c>
      <c r="R33" s="76"/>
      <c r="S33" s="76"/>
      <c r="T33" s="76"/>
      <c r="U33" s="76"/>
      <c r="V33" s="29"/>
      <c r="W33" s="29">
        <f t="shared" si="3"/>
        <v>5201967</v>
      </c>
      <c r="X33" s="76">
        <v>3545041</v>
      </c>
      <c r="Y33" s="76">
        <f>1339500</f>
        <v>1339500</v>
      </c>
      <c r="Z33" s="76">
        <f>324797-7371</f>
        <v>317426</v>
      </c>
      <c r="AA33" s="76"/>
      <c r="AB33" s="76"/>
      <c r="AC33" s="76"/>
      <c r="AD33" s="76"/>
      <c r="AE33" s="29">
        <f t="shared" si="4"/>
        <v>206100</v>
      </c>
      <c r="AF33" s="29"/>
      <c r="AG33" s="29">
        <v>206100</v>
      </c>
      <c r="AH33" s="29">
        <f t="shared" si="5"/>
        <v>1471050</v>
      </c>
      <c r="AI33" s="76">
        <v>607014</v>
      </c>
      <c r="AJ33" s="76">
        <v>365634</v>
      </c>
      <c r="AK33" s="76">
        <v>449798</v>
      </c>
      <c r="AL33" s="76">
        <v>48604</v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7">
        <v>535000</v>
      </c>
      <c r="AZ33" s="77"/>
      <c r="BA33" s="77"/>
      <c r="BB33" s="77"/>
      <c r="BC33" s="77"/>
      <c r="BD33" s="77"/>
      <c r="BE33" s="77"/>
      <c r="BF33" s="77">
        <f>91000+75000</f>
        <v>166000</v>
      </c>
      <c r="BG33" s="77"/>
      <c r="BH33" s="77">
        <v>1965000</v>
      </c>
      <c r="BI33" s="39"/>
      <c r="BJ33" s="39"/>
      <c r="BK33" s="39"/>
      <c r="BL33" s="39"/>
      <c r="BM33" s="29">
        <f t="shared" si="0"/>
        <v>159230063</v>
      </c>
      <c r="BN33" s="29"/>
      <c r="BO33" s="29"/>
      <c r="BP33" s="29">
        <f>65000+82200</f>
        <v>147200</v>
      </c>
      <c r="BQ33" s="77"/>
      <c r="BR33" s="77">
        <f>3450000+1000000</f>
        <v>4450000</v>
      </c>
      <c r="BS33" s="77"/>
      <c r="BT33" s="77">
        <f>300000+400000</f>
        <v>700000</v>
      </c>
      <c r="BU33" s="77"/>
      <c r="BV33" s="77">
        <v>33600</v>
      </c>
      <c r="BW33" s="77"/>
      <c r="BX33" s="77"/>
      <c r="BY33" s="77"/>
      <c r="BZ33" s="77"/>
      <c r="CA33" s="77"/>
      <c r="CB33" s="77"/>
      <c r="CC33" s="77"/>
      <c r="CD33" s="77"/>
      <c r="CE33" s="39"/>
      <c r="CF33" s="39"/>
      <c r="CG33" s="39"/>
      <c r="CH33" s="29">
        <f t="shared" si="1"/>
        <v>5330800</v>
      </c>
      <c r="CI33" s="77"/>
    </row>
    <row r="34" spans="1:87" ht="63" customHeight="1" x14ac:dyDescent="0.8">
      <c r="A34" s="12" t="s">
        <v>32</v>
      </c>
      <c r="B34" s="13" t="s">
        <v>66</v>
      </c>
      <c r="C34" s="28"/>
      <c r="D34" s="28">
        <v>2997900</v>
      </c>
      <c r="E34" s="28">
        <f>40696500-2332200+725000</f>
        <v>39089300</v>
      </c>
      <c r="F34" s="28">
        <v>41295000</v>
      </c>
      <c r="G34" s="28">
        <f>4827800-384600-15900-259700</f>
        <v>4167600</v>
      </c>
      <c r="H34" s="76">
        <f>712489+144000</f>
        <v>856489</v>
      </c>
      <c r="I34" s="76"/>
      <c r="J34" s="76"/>
      <c r="K34" s="29">
        <f t="shared" si="11"/>
        <v>0</v>
      </c>
      <c r="L34" s="76"/>
      <c r="M34" s="76"/>
      <c r="N34" s="76"/>
      <c r="O34" s="76"/>
      <c r="P34" s="76"/>
      <c r="Q34" s="76">
        <f>412384-378061</f>
        <v>34323</v>
      </c>
      <c r="R34" s="76"/>
      <c r="S34" s="76">
        <v>1501042.13</v>
      </c>
      <c r="T34" s="76"/>
      <c r="U34" s="76"/>
      <c r="V34" s="29"/>
      <c r="W34" s="29">
        <f t="shared" si="3"/>
        <v>23513</v>
      </c>
      <c r="X34" s="76"/>
      <c r="Y34" s="76"/>
      <c r="Z34" s="76">
        <f>156384-132871</f>
        <v>23513</v>
      </c>
      <c r="AA34" s="76"/>
      <c r="AB34" s="76"/>
      <c r="AC34" s="76"/>
      <c r="AD34" s="76"/>
      <c r="AE34" s="29">
        <f t="shared" si="4"/>
        <v>0</v>
      </c>
      <c r="AF34" s="29">
        <f>122444-122444</f>
        <v>0</v>
      </c>
      <c r="AG34" s="29"/>
      <c r="AH34" s="29">
        <f t="shared" si="5"/>
        <v>211067</v>
      </c>
      <c r="AI34" s="76">
        <v>44964</v>
      </c>
      <c r="AJ34" s="76">
        <v>48951</v>
      </c>
      <c r="AK34" s="76">
        <v>107952</v>
      </c>
      <c r="AL34" s="76">
        <v>9200</v>
      </c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7">
        <v>300000</v>
      </c>
      <c r="AZ34" s="77"/>
      <c r="BA34" s="77"/>
      <c r="BB34" s="77"/>
      <c r="BC34" s="77"/>
      <c r="BD34" s="77"/>
      <c r="BE34" s="77"/>
      <c r="BF34" s="77">
        <f>91000+2000+58000</f>
        <v>151000</v>
      </c>
      <c r="BG34" s="77"/>
      <c r="BH34" s="77"/>
      <c r="BI34" s="39"/>
      <c r="BJ34" s="39"/>
      <c r="BK34" s="39"/>
      <c r="BL34" s="39"/>
      <c r="BM34" s="29">
        <f t="shared" si="0"/>
        <v>90627234.129999995</v>
      </c>
      <c r="BN34" s="29"/>
      <c r="BO34" s="29"/>
      <c r="BP34" s="29"/>
      <c r="BQ34" s="77"/>
      <c r="BR34" s="77"/>
      <c r="BS34" s="77"/>
      <c r="BT34" s="77"/>
      <c r="BU34" s="77"/>
      <c r="BV34" s="77">
        <v>3300</v>
      </c>
      <c r="BW34" s="77"/>
      <c r="BX34" s="77"/>
      <c r="BY34" s="77"/>
      <c r="BZ34" s="77"/>
      <c r="CA34" s="77"/>
      <c r="CB34" s="77"/>
      <c r="CC34" s="77"/>
      <c r="CD34" s="77"/>
      <c r="CE34" s="39"/>
      <c r="CF34" s="39"/>
      <c r="CG34" s="39"/>
      <c r="CH34" s="29">
        <f t="shared" si="1"/>
        <v>3300</v>
      </c>
      <c r="CI34" s="77"/>
    </row>
    <row r="35" spans="1:87" ht="63" customHeight="1" x14ac:dyDescent="0.8">
      <c r="A35" s="12" t="s">
        <v>33</v>
      </c>
      <c r="B35" s="13" t="s">
        <v>67</v>
      </c>
      <c r="C35" s="28"/>
      <c r="D35" s="28">
        <f>3920800+3103500</f>
        <v>7024300</v>
      </c>
      <c r="E35" s="28">
        <f>61755700-600200+364600</f>
        <v>61520100</v>
      </c>
      <c r="F35" s="28">
        <v>88089100</v>
      </c>
      <c r="G35" s="28">
        <f>795200+295600-113600-9400</f>
        <v>967800</v>
      </c>
      <c r="H35" s="76">
        <v>2112776</v>
      </c>
      <c r="I35" s="76"/>
      <c r="J35" s="76"/>
      <c r="K35" s="29">
        <f t="shared" si="11"/>
        <v>0</v>
      </c>
      <c r="L35" s="76"/>
      <c r="M35" s="76"/>
      <c r="N35" s="76"/>
      <c r="O35" s="76">
        <v>679365</v>
      </c>
      <c r="P35" s="76">
        <v>102444</v>
      </c>
      <c r="Q35" s="76">
        <v>918164</v>
      </c>
      <c r="R35" s="76"/>
      <c r="S35" s="76"/>
      <c r="T35" s="76"/>
      <c r="U35" s="76"/>
      <c r="V35" s="29"/>
      <c r="W35" s="29">
        <f t="shared" si="3"/>
        <v>152835</v>
      </c>
      <c r="X35" s="76"/>
      <c r="Y35" s="76"/>
      <c r="Z35" s="76">
        <f>300738-147903</f>
        <v>152835</v>
      </c>
      <c r="AA35" s="76"/>
      <c r="AB35" s="76"/>
      <c r="AC35" s="76"/>
      <c r="AD35" s="76"/>
      <c r="AE35" s="29">
        <f>AF35+AG35</f>
        <v>359155</v>
      </c>
      <c r="AF35" s="29">
        <f>765275-612220</f>
        <v>153055</v>
      </c>
      <c r="AG35" s="29">
        <v>206100</v>
      </c>
      <c r="AH35" s="29">
        <f t="shared" si="5"/>
        <v>655635</v>
      </c>
      <c r="AI35" s="76">
        <v>292266</v>
      </c>
      <c r="AJ35" s="76">
        <v>182817</v>
      </c>
      <c r="AK35" s="76">
        <v>161928</v>
      </c>
      <c r="AL35" s="76">
        <v>18624</v>
      </c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>
        <v>620000</v>
      </c>
      <c r="AZ35" s="77"/>
      <c r="BA35" s="77"/>
      <c r="BB35" s="77"/>
      <c r="BC35" s="77"/>
      <c r="BD35" s="77">
        <v>13000</v>
      </c>
      <c r="BE35" s="77"/>
      <c r="BF35" s="77">
        <f>91000+58000</f>
        <v>149000</v>
      </c>
      <c r="BG35" s="77"/>
      <c r="BH35" s="77"/>
      <c r="BI35" s="39"/>
      <c r="BJ35" s="39"/>
      <c r="BK35" s="39"/>
      <c r="BL35" s="39"/>
      <c r="BM35" s="29">
        <f t="shared" si="0"/>
        <v>163363674</v>
      </c>
      <c r="BN35" s="29"/>
      <c r="BO35" s="29"/>
      <c r="BP35" s="29"/>
      <c r="BQ35" s="77"/>
      <c r="BR35" s="77"/>
      <c r="BS35" s="77"/>
      <c r="BT35" s="77"/>
      <c r="BU35" s="77"/>
      <c r="BV35" s="77">
        <f>16300</f>
        <v>16300</v>
      </c>
      <c r="BW35" s="77"/>
      <c r="BX35" s="77"/>
      <c r="BY35" s="77"/>
      <c r="BZ35" s="77"/>
      <c r="CA35" s="77"/>
      <c r="CB35" s="77"/>
      <c r="CC35" s="77"/>
      <c r="CD35" s="77"/>
      <c r="CE35" s="39"/>
      <c r="CF35" s="39"/>
      <c r="CG35" s="39"/>
      <c r="CH35" s="29">
        <f t="shared" si="1"/>
        <v>16300</v>
      </c>
      <c r="CI35" s="77"/>
    </row>
    <row r="36" spans="1:87" ht="63" customHeight="1" x14ac:dyDescent="0.8">
      <c r="A36" s="12" t="s">
        <v>34</v>
      </c>
      <c r="B36" s="13" t="s">
        <v>68</v>
      </c>
      <c r="C36" s="28"/>
      <c r="D36" s="28">
        <v>11567000</v>
      </c>
      <c r="E36" s="28">
        <f>95690900-808200-583500</f>
        <v>94299200</v>
      </c>
      <c r="F36" s="28">
        <v>120467500</v>
      </c>
      <c r="G36" s="28">
        <f>1450100+59700-45700-52200</f>
        <v>1411900</v>
      </c>
      <c r="H36" s="76">
        <v>2866821</v>
      </c>
      <c r="I36" s="76"/>
      <c r="J36" s="76"/>
      <c r="K36" s="29">
        <f>L36+M36+N36</f>
        <v>1048100</v>
      </c>
      <c r="L36" s="76">
        <f>64600</f>
        <v>64600</v>
      </c>
      <c r="M36" s="76">
        <v>980200</v>
      </c>
      <c r="N36" s="76">
        <v>3300</v>
      </c>
      <c r="O36" s="76">
        <v>838642</v>
      </c>
      <c r="P36" s="76">
        <v>126462</v>
      </c>
      <c r="Q36" s="76">
        <v>1866748</v>
      </c>
      <c r="R36" s="76"/>
      <c r="S36" s="76"/>
      <c r="T36" s="76"/>
      <c r="U36" s="76"/>
      <c r="V36" s="29"/>
      <c r="W36" s="29">
        <f t="shared" si="3"/>
        <v>6764940</v>
      </c>
      <c r="X36" s="76">
        <v>3545041</v>
      </c>
      <c r="Y36" s="76">
        <f>2679100</f>
        <v>2679100</v>
      </c>
      <c r="Z36" s="76">
        <f>553357-12558</f>
        <v>540799</v>
      </c>
      <c r="AA36" s="76"/>
      <c r="AB36" s="76"/>
      <c r="AC36" s="76"/>
      <c r="AD36" s="76"/>
      <c r="AE36" s="29">
        <f t="shared" si="4"/>
        <v>328544</v>
      </c>
      <c r="AF36" s="29">
        <v>122444</v>
      </c>
      <c r="AG36" s="29">
        <v>206100</v>
      </c>
      <c r="AH36" s="29">
        <f t="shared" si="5"/>
        <v>2633932</v>
      </c>
      <c r="AI36" s="76">
        <v>1034172</v>
      </c>
      <c r="AJ36" s="76">
        <v>806193</v>
      </c>
      <c r="AK36" s="76">
        <v>719707</v>
      </c>
      <c r="AL36" s="76">
        <v>73860</v>
      </c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7">
        <v>1903000</v>
      </c>
      <c r="AZ36" s="77">
        <f>27500</f>
        <v>27500</v>
      </c>
      <c r="BA36" s="77"/>
      <c r="BB36" s="77"/>
      <c r="BC36" s="77"/>
      <c r="BD36" s="77">
        <v>13000</v>
      </c>
      <c r="BE36" s="77"/>
      <c r="BF36" s="77">
        <f>91000+2000</f>
        <v>93000</v>
      </c>
      <c r="BG36" s="77"/>
      <c r="BH36" s="77"/>
      <c r="BI36" s="39"/>
      <c r="BJ36" s="39"/>
      <c r="BK36" s="39">
        <v>1066820</v>
      </c>
      <c r="BL36" s="39"/>
      <c r="BM36" s="29">
        <f t="shared" si="0"/>
        <v>247323109</v>
      </c>
      <c r="BN36" s="29"/>
      <c r="BO36" s="29"/>
      <c r="BP36" s="29"/>
      <c r="BQ36" s="77"/>
      <c r="BR36" s="77">
        <v>104000</v>
      </c>
      <c r="BS36" s="77"/>
      <c r="BT36" s="77">
        <f>12000000-2000000</f>
        <v>10000000</v>
      </c>
      <c r="BU36" s="77"/>
      <c r="BV36" s="77">
        <f>10000</f>
        <v>10000</v>
      </c>
      <c r="BW36" s="77"/>
      <c r="BX36" s="77"/>
      <c r="BY36" s="77"/>
      <c r="BZ36" s="77"/>
      <c r="CA36" s="77"/>
      <c r="CB36" s="77"/>
      <c r="CC36" s="77"/>
      <c r="CD36" s="77"/>
      <c r="CE36" s="39"/>
      <c r="CF36" s="39"/>
      <c r="CG36" s="39">
        <v>106351</v>
      </c>
      <c r="CH36" s="29">
        <f t="shared" si="1"/>
        <v>10220351</v>
      </c>
      <c r="CI36" s="77"/>
    </row>
    <row r="37" spans="1:87" ht="66.75" customHeight="1" x14ac:dyDescent="0.8">
      <c r="A37" s="12" t="s">
        <v>35</v>
      </c>
      <c r="B37" s="13" t="s">
        <v>69</v>
      </c>
      <c r="C37" s="28"/>
      <c r="D37" s="28">
        <f>3226200+1150000</f>
        <v>4376200</v>
      </c>
      <c r="E37" s="28">
        <f>37758400-607500+404700</f>
        <v>37555600</v>
      </c>
      <c r="F37" s="28">
        <v>43747600</v>
      </c>
      <c r="G37" s="28">
        <f>2226300+179100-177600-58300</f>
        <v>2169500</v>
      </c>
      <c r="H37" s="76">
        <v>817701</v>
      </c>
      <c r="I37" s="76"/>
      <c r="J37" s="76"/>
      <c r="K37" s="29">
        <f t="shared" si="11"/>
        <v>0</v>
      </c>
      <c r="L37" s="76"/>
      <c r="M37" s="76"/>
      <c r="N37" s="76"/>
      <c r="O37" s="76">
        <v>676114</v>
      </c>
      <c r="P37" s="76">
        <v>101954</v>
      </c>
      <c r="Q37" s="76">
        <f>739075-554307</f>
        <v>184768</v>
      </c>
      <c r="R37" s="76">
        <v>824388</v>
      </c>
      <c r="S37" s="76"/>
      <c r="T37" s="76"/>
      <c r="U37" s="76"/>
      <c r="V37" s="29"/>
      <c r="W37" s="29">
        <f t="shared" si="3"/>
        <v>23513</v>
      </c>
      <c r="X37" s="76"/>
      <c r="Y37" s="76"/>
      <c r="Z37" s="76">
        <f>96236-72723</f>
        <v>23513</v>
      </c>
      <c r="AA37" s="76"/>
      <c r="AB37" s="76"/>
      <c r="AC37" s="76"/>
      <c r="AD37" s="76"/>
      <c r="AE37" s="29">
        <f t="shared" si="4"/>
        <v>0</v>
      </c>
      <c r="AF37" s="29">
        <f>61222-61222</f>
        <v>0</v>
      </c>
      <c r="AG37" s="29"/>
      <c r="AH37" s="29">
        <f t="shared" si="5"/>
        <v>91744</v>
      </c>
      <c r="AI37" s="76">
        <v>44964</v>
      </c>
      <c r="AJ37" s="76">
        <v>21978</v>
      </c>
      <c r="AK37" s="76">
        <v>17992</v>
      </c>
      <c r="AL37" s="76">
        <v>6810</v>
      </c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7">
        <f>290000-50000</f>
        <v>240000</v>
      </c>
      <c r="AZ37" s="77"/>
      <c r="BA37" s="77"/>
      <c r="BB37" s="77"/>
      <c r="BC37" s="77"/>
      <c r="BD37" s="77"/>
      <c r="BE37" s="77"/>
      <c r="BF37" s="77">
        <f>91000+33000</f>
        <v>124000</v>
      </c>
      <c r="BG37" s="77"/>
      <c r="BH37" s="77"/>
      <c r="BI37" s="39"/>
      <c r="BJ37" s="39"/>
      <c r="BK37" s="39"/>
      <c r="BL37" s="39"/>
      <c r="BM37" s="29">
        <f t="shared" si="0"/>
        <v>90933082</v>
      </c>
      <c r="BN37" s="29"/>
      <c r="BO37" s="29"/>
      <c r="BP37" s="29"/>
      <c r="BQ37" s="77"/>
      <c r="BR37" s="77"/>
      <c r="BS37" s="77"/>
      <c r="BT37" s="77"/>
      <c r="BU37" s="77"/>
      <c r="BV37" s="77">
        <v>2200</v>
      </c>
      <c r="BW37" s="77"/>
      <c r="BX37" s="77"/>
      <c r="BY37" s="77"/>
      <c r="BZ37" s="77"/>
      <c r="CA37" s="77"/>
      <c r="CB37" s="77"/>
      <c r="CC37" s="77"/>
      <c r="CD37" s="77"/>
      <c r="CE37" s="39"/>
      <c r="CF37" s="39"/>
      <c r="CG37" s="39"/>
      <c r="CH37" s="29">
        <f t="shared" si="1"/>
        <v>2200</v>
      </c>
      <c r="CI37" s="77"/>
    </row>
    <row r="38" spans="1:87" ht="63" customHeight="1" x14ac:dyDescent="0.8">
      <c r="A38" s="12" t="s">
        <v>36</v>
      </c>
      <c r="B38" s="13" t="s">
        <v>70</v>
      </c>
      <c r="C38" s="28"/>
      <c r="D38" s="28">
        <f>3201700+3270000</f>
        <v>6471700</v>
      </c>
      <c r="E38" s="28">
        <f>34876200-1349800+332500</f>
        <v>33858900</v>
      </c>
      <c r="F38" s="28">
        <v>48685800</v>
      </c>
      <c r="G38" s="28">
        <f>1486500-143800+71200+49600</f>
        <v>1463500</v>
      </c>
      <c r="H38" s="76">
        <v>2015648</v>
      </c>
      <c r="I38" s="76"/>
      <c r="J38" s="76"/>
      <c r="K38" s="29">
        <f t="shared" si="11"/>
        <v>0</v>
      </c>
      <c r="L38" s="76"/>
      <c r="M38" s="76"/>
      <c r="N38" s="76"/>
      <c r="O38" s="76"/>
      <c r="P38" s="76"/>
      <c r="Q38" s="76">
        <f>558636+50000</f>
        <v>608636</v>
      </c>
      <c r="R38" s="76"/>
      <c r="S38" s="76"/>
      <c r="T38" s="76"/>
      <c r="U38" s="76"/>
      <c r="V38" s="29"/>
      <c r="W38" s="29">
        <f t="shared" si="3"/>
        <v>2737883</v>
      </c>
      <c r="X38" s="76"/>
      <c r="Y38" s="76">
        <f>2679100</f>
        <v>2679100</v>
      </c>
      <c r="Z38" s="76">
        <f>144354-85571</f>
        <v>58783</v>
      </c>
      <c r="AA38" s="76"/>
      <c r="AB38" s="76"/>
      <c r="AC38" s="76"/>
      <c r="AD38" s="76"/>
      <c r="AE38" s="29">
        <f t="shared" si="4"/>
        <v>267322</v>
      </c>
      <c r="AF38" s="29">
        <v>61222</v>
      </c>
      <c r="AG38" s="29">
        <v>206100</v>
      </c>
      <c r="AH38" s="29">
        <f t="shared" si="5"/>
        <v>467768</v>
      </c>
      <c r="AI38" s="76">
        <v>112410</v>
      </c>
      <c r="AJ38" s="76">
        <v>124875</v>
      </c>
      <c r="AK38" s="76">
        <v>215903</v>
      </c>
      <c r="AL38" s="76">
        <v>14580</v>
      </c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7">
        <v>440000</v>
      </c>
      <c r="AZ38" s="77"/>
      <c r="BA38" s="77"/>
      <c r="BB38" s="77"/>
      <c r="BC38" s="77"/>
      <c r="BD38" s="77"/>
      <c r="BE38" s="77"/>
      <c r="BF38" s="77">
        <v>91000</v>
      </c>
      <c r="BG38" s="77"/>
      <c r="BH38" s="77"/>
      <c r="BI38" s="39"/>
      <c r="BJ38" s="39"/>
      <c r="BK38" s="39"/>
      <c r="BL38" s="39"/>
      <c r="BM38" s="29">
        <f t="shared" si="0"/>
        <v>97108157</v>
      </c>
      <c r="BN38" s="29"/>
      <c r="BO38" s="29"/>
      <c r="BP38" s="29"/>
      <c r="BQ38" s="77">
        <f>400000-400000</f>
        <v>0</v>
      </c>
      <c r="BR38" s="77"/>
      <c r="BS38" s="77"/>
      <c r="BT38" s="77"/>
      <c r="BU38" s="77"/>
      <c r="BV38" s="77">
        <v>15800</v>
      </c>
      <c r="BW38" s="77"/>
      <c r="BX38" s="77"/>
      <c r="BY38" s="77"/>
      <c r="BZ38" s="77"/>
      <c r="CA38" s="77"/>
      <c r="CB38" s="77"/>
      <c r="CC38" s="77"/>
      <c r="CD38" s="77"/>
      <c r="CE38" s="39"/>
      <c r="CF38" s="39"/>
      <c r="CG38" s="39"/>
      <c r="CH38" s="29">
        <f t="shared" si="1"/>
        <v>15800</v>
      </c>
      <c r="CI38" s="77"/>
    </row>
    <row r="39" spans="1:87" ht="66.75" customHeight="1" x14ac:dyDescent="0.8">
      <c r="A39" s="12" t="s">
        <v>37</v>
      </c>
      <c r="B39" s="13" t="s">
        <v>71</v>
      </c>
      <c r="C39" s="28"/>
      <c r="D39" s="28">
        <f>2000300+1048100</f>
        <v>3048400</v>
      </c>
      <c r="E39" s="28">
        <f>37650600-1149300+161700</f>
        <v>36663000</v>
      </c>
      <c r="F39" s="28">
        <v>34387200</v>
      </c>
      <c r="G39" s="28">
        <f>3689700-7800-263500+93100</f>
        <v>3511500</v>
      </c>
      <c r="H39" s="76">
        <v>3072494</v>
      </c>
      <c r="I39" s="76"/>
      <c r="J39" s="76"/>
      <c r="K39" s="29">
        <f t="shared" si="11"/>
        <v>0</v>
      </c>
      <c r="L39" s="76"/>
      <c r="M39" s="76"/>
      <c r="N39" s="76"/>
      <c r="O39" s="76">
        <v>750877</v>
      </c>
      <c r="P39" s="76">
        <v>113228</v>
      </c>
      <c r="Q39" s="76">
        <f>537437-70000</f>
        <v>467437</v>
      </c>
      <c r="R39" s="76"/>
      <c r="S39" s="76">
        <v>528920.01</v>
      </c>
      <c r="T39" s="76"/>
      <c r="U39" s="76"/>
      <c r="V39" s="29"/>
      <c r="W39" s="29">
        <f t="shared" si="3"/>
        <v>2820178</v>
      </c>
      <c r="X39" s="76"/>
      <c r="Y39" s="76">
        <f>2679100</f>
        <v>2679100</v>
      </c>
      <c r="Z39" s="76">
        <f>204502-63424</f>
        <v>141078</v>
      </c>
      <c r="AA39" s="76"/>
      <c r="AB39" s="76"/>
      <c r="AC39" s="76"/>
      <c r="AD39" s="76"/>
      <c r="AE39" s="29">
        <f t="shared" si="4"/>
        <v>122444</v>
      </c>
      <c r="AF39" s="29">
        <v>122444</v>
      </c>
      <c r="AG39" s="29"/>
      <c r="AH39" s="29">
        <f t="shared" si="5"/>
        <v>520896</v>
      </c>
      <c r="AI39" s="76">
        <v>269784</v>
      </c>
      <c r="AJ39" s="76">
        <v>163836</v>
      </c>
      <c r="AK39" s="76">
        <v>53976</v>
      </c>
      <c r="AL39" s="76">
        <v>33300</v>
      </c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7">
        <v>100000</v>
      </c>
      <c r="AZ39" s="77"/>
      <c r="BA39" s="77"/>
      <c r="BB39" s="77"/>
      <c r="BC39" s="77">
        <v>550000</v>
      </c>
      <c r="BD39" s="77"/>
      <c r="BE39" s="77"/>
      <c r="BF39" s="77">
        <v>91000</v>
      </c>
      <c r="BG39" s="77"/>
      <c r="BH39" s="77"/>
      <c r="BI39" s="39"/>
      <c r="BJ39" s="39"/>
      <c r="BK39" s="39"/>
      <c r="BL39" s="39"/>
      <c r="BM39" s="29">
        <f t="shared" si="0"/>
        <v>86747574.010000005</v>
      </c>
      <c r="BN39" s="29"/>
      <c r="BO39" s="29"/>
      <c r="BP39" s="29"/>
      <c r="BQ39" s="77"/>
      <c r="BR39" s="77"/>
      <c r="BS39" s="77"/>
      <c r="BT39" s="77"/>
      <c r="BU39" s="77"/>
      <c r="BV39" s="77">
        <v>15900</v>
      </c>
      <c r="BW39" s="77"/>
      <c r="BX39" s="77"/>
      <c r="BY39" s="77"/>
      <c r="BZ39" s="77"/>
      <c r="CA39" s="87">
        <v>10000</v>
      </c>
      <c r="CB39" s="77"/>
      <c r="CC39" s="77"/>
      <c r="CD39" s="77"/>
      <c r="CE39" s="39"/>
      <c r="CF39" s="39"/>
      <c r="CG39" s="39"/>
      <c r="CH39" s="29">
        <f t="shared" si="1"/>
        <v>25900</v>
      </c>
      <c r="CI39" s="77"/>
    </row>
    <row r="40" spans="1:87" ht="63" customHeight="1" x14ac:dyDescent="0.8">
      <c r="A40" s="12" t="s">
        <v>38</v>
      </c>
      <c r="B40" s="13" t="s">
        <v>72</v>
      </c>
      <c r="C40" s="28"/>
      <c r="D40" s="28">
        <f>1142700+1167000</f>
        <v>2309700</v>
      </c>
      <c r="E40" s="28">
        <f>49352700-1656600-120600</f>
        <v>47575500</v>
      </c>
      <c r="F40" s="28">
        <v>92016700</v>
      </c>
      <c r="G40" s="28">
        <f>962600-45800-79700-41400</f>
        <v>795700</v>
      </c>
      <c r="H40" s="76">
        <v>2684163</v>
      </c>
      <c r="I40" s="76"/>
      <c r="J40" s="76"/>
      <c r="K40" s="29">
        <f t="shared" si="11"/>
        <v>0</v>
      </c>
      <c r="L40" s="76"/>
      <c r="M40" s="76"/>
      <c r="N40" s="76"/>
      <c r="O40" s="76">
        <v>607853</v>
      </c>
      <c r="P40" s="76">
        <v>91661</v>
      </c>
      <c r="Q40" s="76">
        <v>811779</v>
      </c>
      <c r="R40" s="76">
        <v>932617.91</v>
      </c>
      <c r="S40" s="76"/>
      <c r="T40" s="76"/>
      <c r="U40" s="76"/>
      <c r="V40" s="29"/>
      <c r="W40" s="29">
        <f t="shared" si="3"/>
        <v>58783</v>
      </c>
      <c r="X40" s="76"/>
      <c r="Y40" s="76"/>
      <c r="Z40" s="76">
        <f>60148-1365</f>
        <v>58783</v>
      </c>
      <c r="AA40" s="76"/>
      <c r="AB40" s="76"/>
      <c r="AC40" s="76"/>
      <c r="AD40" s="76"/>
      <c r="AE40" s="29">
        <f t="shared" si="4"/>
        <v>30611</v>
      </c>
      <c r="AF40" s="29">
        <v>30611</v>
      </c>
      <c r="AG40" s="29"/>
      <c r="AH40" s="29">
        <f t="shared" si="5"/>
        <v>274832</v>
      </c>
      <c r="AI40" s="76">
        <v>112410</v>
      </c>
      <c r="AJ40" s="76">
        <v>75924</v>
      </c>
      <c r="AK40" s="76">
        <v>71968</v>
      </c>
      <c r="AL40" s="76">
        <v>14530</v>
      </c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>
        <f>700000</f>
        <v>700000</v>
      </c>
      <c r="AY40" s="77">
        <v>200000</v>
      </c>
      <c r="AZ40" s="77"/>
      <c r="BA40" s="77"/>
      <c r="BB40" s="77"/>
      <c r="BC40" s="77"/>
      <c r="BD40" s="77"/>
      <c r="BE40" s="77"/>
      <c r="BF40" s="77">
        <f>90000-60000</f>
        <v>30000</v>
      </c>
      <c r="BG40" s="77"/>
      <c r="BH40" s="77"/>
      <c r="BI40" s="39"/>
      <c r="BJ40" s="39"/>
      <c r="BK40" s="39"/>
      <c r="BL40" s="39"/>
      <c r="BM40" s="29">
        <f t="shared" si="0"/>
        <v>149119899.91</v>
      </c>
      <c r="BN40" s="29"/>
      <c r="BO40" s="29"/>
      <c r="BP40" s="29"/>
      <c r="BQ40" s="77"/>
      <c r="BR40" s="77"/>
      <c r="BS40" s="77"/>
      <c r="BT40" s="77"/>
      <c r="BU40" s="77"/>
      <c r="BV40" s="77">
        <v>9500</v>
      </c>
      <c r="BW40" s="77"/>
      <c r="BX40" s="77"/>
      <c r="BY40" s="77"/>
      <c r="BZ40" s="77"/>
      <c r="CA40" s="77"/>
      <c r="CB40" s="77"/>
      <c r="CC40" s="77"/>
      <c r="CD40" s="77"/>
      <c r="CE40" s="39"/>
      <c r="CF40" s="39"/>
      <c r="CG40" s="39"/>
      <c r="CH40" s="29">
        <f t="shared" si="1"/>
        <v>9500</v>
      </c>
      <c r="CI40" s="77"/>
    </row>
    <row r="41" spans="1:87" ht="63" customHeight="1" x14ac:dyDescent="0.8">
      <c r="A41" s="12" t="s">
        <v>39</v>
      </c>
      <c r="B41" s="13" t="s">
        <v>73</v>
      </c>
      <c r="C41" s="28"/>
      <c r="D41" s="28">
        <f>4740300+4841500</f>
        <v>9581800</v>
      </c>
      <c r="E41" s="28">
        <f>87587500+236100+1438000</f>
        <v>89261600</v>
      </c>
      <c r="F41" s="28">
        <v>86734500</v>
      </c>
      <c r="G41" s="28">
        <f>3205300+217800-234600-121200</f>
        <v>3067300</v>
      </c>
      <c r="H41" s="76">
        <v>8802383</v>
      </c>
      <c r="I41" s="76"/>
      <c r="J41" s="76"/>
      <c r="K41" s="29">
        <f t="shared" si="11"/>
        <v>0</v>
      </c>
      <c r="L41" s="76"/>
      <c r="M41" s="76"/>
      <c r="N41" s="76"/>
      <c r="O41" s="76">
        <v>659862</v>
      </c>
      <c r="P41" s="76">
        <v>99503</v>
      </c>
      <c r="Q41" s="76">
        <v>803738</v>
      </c>
      <c r="R41" s="76"/>
      <c r="S41" s="76"/>
      <c r="T41" s="76"/>
      <c r="U41" s="76"/>
      <c r="V41" s="29"/>
      <c r="W41" s="29">
        <f t="shared" si="3"/>
        <v>282156</v>
      </c>
      <c r="X41" s="76"/>
      <c r="Y41" s="76"/>
      <c r="Z41" s="76">
        <f>348856-66700</f>
        <v>282156</v>
      </c>
      <c r="AA41" s="76"/>
      <c r="AB41" s="76"/>
      <c r="AC41" s="76"/>
      <c r="AD41" s="76"/>
      <c r="AE41" s="29">
        <f t="shared" si="4"/>
        <v>297933</v>
      </c>
      <c r="AF41" s="29">
        <v>91833</v>
      </c>
      <c r="AG41" s="29">
        <v>206100</v>
      </c>
      <c r="AH41" s="29">
        <f t="shared" si="5"/>
        <v>1339291</v>
      </c>
      <c r="AI41" s="76">
        <v>539568</v>
      </c>
      <c r="AJ41" s="76">
        <v>358641</v>
      </c>
      <c r="AK41" s="76">
        <v>377830</v>
      </c>
      <c r="AL41" s="76">
        <v>63252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>
        <f>400000-30000</f>
        <v>370000</v>
      </c>
      <c r="AZ41" s="77"/>
      <c r="BA41" s="77"/>
      <c r="BB41" s="77"/>
      <c r="BC41" s="77"/>
      <c r="BD41" s="77"/>
      <c r="BE41" s="77"/>
      <c r="BF41" s="77">
        <f>91000-43000</f>
        <v>48000</v>
      </c>
      <c r="BG41" s="77"/>
      <c r="BH41" s="77"/>
      <c r="BI41" s="39"/>
      <c r="BJ41" s="39"/>
      <c r="BK41" s="39"/>
      <c r="BL41" s="39"/>
      <c r="BM41" s="29">
        <f t="shared" si="0"/>
        <v>201348066</v>
      </c>
      <c r="BN41" s="29"/>
      <c r="BO41" s="29"/>
      <c r="BP41" s="29"/>
      <c r="BQ41" s="77"/>
      <c r="BR41" s="77"/>
      <c r="BS41" s="77"/>
      <c r="BT41" s="77">
        <v>438958</v>
      </c>
      <c r="BU41" s="77"/>
      <c r="BV41" s="77">
        <f>31100</f>
        <v>31100</v>
      </c>
      <c r="BW41" s="77"/>
      <c r="BX41" s="77"/>
      <c r="BY41" s="77"/>
      <c r="BZ41" s="77"/>
      <c r="CA41" s="77"/>
      <c r="CB41" s="77"/>
      <c r="CC41" s="77"/>
      <c r="CD41" s="77"/>
      <c r="CE41" s="39"/>
      <c r="CF41" s="39"/>
      <c r="CG41" s="39"/>
      <c r="CH41" s="29">
        <f t="shared" si="1"/>
        <v>470058</v>
      </c>
      <c r="CI41" s="77"/>
    </row>
    <row r="42" spans="1:87" ht="66.75" customHeight="1" x14ac:dyDescent="0.8">
      <c r="A42" s="12" t="s">
        <v>40</v>
      </c>
      <c r="B42" s="13" t="s">
        <v>74</v>
      </c>
      <c r="C42" s="28"/>
      <c r="D42" s="28">
        <f>5399000+4174300</f>
        <v>9573300</v>
      </c>
      <c r="E42" s="28">
        <f>61490300-237100+334800</f>
        <v>61588000</v>
      </c>
      <c r="F42" s="28">
        <v>72714800</v>
      </c>
      <c r="G42" s="28">
        <f>1263800-502400+553500-59700</f>
        <v>1255200</v>
      </c>
      <c r="H42" s="76">
        <v>2117687</v>
      </c>
      <c r="I42" s="76"/>
      <c r="J42" s="76"/>
      <c r="K42" s="29">
        <f t="shared" si="11"/>
        <v>0</v>
      </c>
      <c r="L42" s="76"/>
      <c r="M42" s="76"/>
      <c r="N42" s="76"/>
      <c r="O42" s="76">
        <v>1114939</v>
      </c>
      <c r="P42" s="76">
        <v>168126</v>
      </c>
      <c r="Q42" s="76">
        <v>1012292</v>
      </c>
      <c r="R42" s="76">
        <f>676653.96</f>
        <v>676653.96</v>
      </c>
      <c r="S42" s="76"/>
      <c r="T42" s="76"/>
      <c r="U42" s="76"/>
      <c r="V42" s="29"/>
      <c r="W42" s="29">
        <f t="shared" si="3"/>
        <v>23513</v>
      </c>
      <c r="X42" s="76"/>
      <c r="Y42" s="76">
        <f>1339500-1339500</f>
        <v>0</v>
      </c>
      <c r="Z42" s="76">
        <f>276679-253166</f>
        <v>23513</v>
      </c>
      <c r="AA42" s="76"/>
      <c r="AB42" s="76"/>
      <c r="AC42" s="76"/>
      <c r="AD42" s="76"/>
      <c r="AE42" s="29">
        <f t="shared" si="4"/>
        <v>0</v>
      </c>
      <c r="AF42" s="29">
        <f>1010163-1010163</f>
        <v>0</v>
      </c>
      <c r="AG42" s="29"/>
      <c r="AH42" s="29">
        <f t="shared" si="5"/>
        <v>112210</v>
      </c>
      <c r="AI42" s="76">
        <v>44964</v>
      </c>
      <c r="AJ42" s="76">
        <v>17982</v>
      </c>
      <c r="AK42" s="76">
        <v>35984</v>
      </c>
      <c r="AL42" s="76">
        <v>13280</v>
      </c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7">
        <v>867000</v>
      </c>
      <c r="AZ42" s="77"/>
      <c r="BA42" s="77"/>
      <c r="BB42" s="77"/>
      <c r="BC42" s="77"/>
      <c r="BD42" s="77"/>
      <c r="BE42" s="77"/>
      <c r="BF42" s="77">
        <v>91000</v>
      </c>
      <c r="BG42" s="77"/>
      <c r="BH42" s="77"/>
      <c r="BI42" s="39"/>
      <c r="BJ42" s="39"/>
      <c r="BK42" s="39"/>
      <c r="BL42" s="39"/>
      <c r="BM42" s="29">
        <f t="shared" si="0"/>
        <v>151314720.96000001</v>
      </c>
      <c r="BN42" s="29"/>
      <c r="BO42" s="29"/>
      <c r="BP42" s="29"/>
      <c r="BQ42" s="77"/>
      <c r="BR42" s="77"/>
      <c r="BS42" s="77"/>
      <c r="BT42" s="77"/>
      <c r="BU42" s="77"/>
      <c r="BV42" s="77">
        <f>800</f>
        <v>800</v>
      </c>
      <c r="BW42" s="77"/>
      <c r="BX42" s="77"/>
      <c r="BY42" s="77"/>
      <c r="BZ42" s="77"/>
      <c r="CA42" s="77"/>
      <c r="CB42" s="77"/>
      <c r="CC42" s="77"/>
      <c r="CD42" s="77"/>
      <c r="CE42" s="39"/>
      <c r="CF42" s="39"/>
      <c r="CG42" s="39"/>
      <c r="CH42" s="29">
        <f t="shared" si="1"/>
        <v>800</v>
      </c>
      <c r="CI42" s="77"/>
    </row>
    <row r="43" spans="1:87" ht="63" customHeight="1" x14ac:dyDescent="0.8">
      <c r="A43" s="12" t="s">
        <v>41</v>
      </c>
      <c r="B43" s="13" t="s">
        <v>75</v>
      </c>
      <c r="C43" s="28"/>
      <c r="D43" s="28">
        <f>2600600+2656100</f>
        <v>5256700</v>
      </c>
      <c r="E43" s="28">
        <f>71770400-23800-648800</f>
        <v>71097800</v>
      </c>
      <c r="F43" s="28">
        <v>72750900</v>
      </c>
      <c r="G43" s="28">
        <f>918200+787200-120400-52600</f>
        <v>1532400</v>
      </c>
      <c r="H43" s="76">
        <v>2123565</v>
      </c>
      <c r="I43" s="76">
        <v>121000</v>
      </c>
      <c r="J43" s="76"/>
      <c r="K43" s="29">
        <f t="shared" si="11"/>
        <v>0</v>
      </c>
      <c r="L43" s="76"/>
      <c r="M43" s="76"/>
      <c r="N43" s="76"/>
      <c r="O43" s="76">
        <v>887400</v>
      </c>
      <c r="P43" s="76">
        <v>133815</v>
      </c>
      <c r="Q43" s="76">
        <f>829097-313457</f>
        <v>515640</v>
      </c>
      <c r="R43" s="76"/>
      <c r="S43" s="76"/>
      <c r="T43" s="76"/>
      <c r="U43" s="76"/>
      <c r="V43" s="29"/>
      <c r="W43" s="29">
        <f t="shared" si="3"/>
        <v>152835</v>
      </c>
      <c r="X43" s="76"/>
      <c r="Y43" s="76"/>
      <c r="Z43" s="76">
        <f>156384-3549</f>
        <v>152835</v>
      </c>
      <c r="AA43" s="76"/>
      <c r="AB43" s="76"/>
      <c r="AC43" s="76"/>
      <c r="AD43" s="76"/>
      <c r="AE43" s="29">
        <f t="shared" si="4"/>
        <v>61222</v>
      </c>
      <c r="AF43" s="29">
        <v>61222</v>
      </c>
      <c r="AG43" s="29"/>
      <c r="AH43" s="29">
        <f t="shared" si="5"/>
        <v>745636</v>
      </c>
      <c r="AI43" s="76">
        <v>292266</v>
      </c>
      <c r="AJ43" s="76">
        <v>140859</v>
      </c>
      <c r="AK43" s="76">
        <v>287871</v>
      </c>
      <c r="AL43" s="76">
        <v>24640</v>
      </c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>
        <f>900000</f>
        <v>900000</v>
      </c>
      <c r="AY43" s="77">
        <v>665000</v>
      </c>
      <c r="AZ43" s="77"/>
      <c r="BA43" s="77"/>
      <c r="BB43" s="77"/>
      <c r="BC43" s="77"/>
      <c r="BD43" s="77"/>
      <c r="BE43" s="77"/>
      <c r="BF43" s="77">
        <v>91000</v>
      </c>
      <c r="BG43" s="77"/>
      <c r="BH43" s="77">
        <f>915000+700000</f>
        <v>1615000</v>
      </c>
      <c r="BI43" s="39"/>
      <c r="BJ43" s="39"/>
      <c r="BK43" s="39"/>
      <c r="BL43" s="39"/>
      <c r="BM43" s="29">
        <f t="shared" si="0"/>
        <v>158649913</v>
      </c>
      <c r="BN43" s="29"/>
      <c r="BO43" s="29"/>
      <c r="BP43" s="29"/>
      <c r="BQ43" s="77"/>
      <c r="BR43" s="77"/>
      <c r="BS43" s="77"/>
      <c r="BT43" s="77"/>
      <c r="BU43" s="77"/>
      <c r="BV43" s="77">
        <v>15700</v>
      </c>
      <c r="BW43" s="77"/>
      <c r="BX43" s="77"/>
      <c r="BY43" s="77"/>
      <c r="BZ43" s="77"/>
      <c r="CA43" s="77"/>
      <c r="CB43" s="77"/>
      <c r="CC43" s="77"/>
      <c r="CD43" s="77"/>
      <c r="CE43" s="39"/>
      <c r="CF43" s="39"/>
      <c r="CG43" s="39"/>
      <c r="CH43" s="29">
        <f t="shared" si="1"/>
        <v>15700</v>
      </c>
      <c r="CI43" s="77"/>
    </row>
    <row r="44" spans="1:87" ht="59.25" customHeight="1" x14ac:dyDescent="0.8">
      <c r="A44" s="12" t="s">
        <v>42</v>
      </c>
      <c r="B44" s="13" t="s">
        <v>76</v>
      </c>
      <c r="C44" s="28"/>
      <c r="D44" s="28">
        <f>1462300+1493500</f>
        <v>2955800</v>
      </c>
      <c r="E44" s="28">
        <f>42417500+1050200+571800</f>
        <v>44039500</v>
      </c>
      <c r="F44" s="28">
        <v>55845200</v>
      </c>
      <c r="G44" s="28">
        <f>2127500+80200-229900+81500</f>
        <v>2059300</v>
      </c>
      <c r="H44" s="76">
        <v>2321233</v>
      </c>
      <c r="I44" s="76"/>
      <c r="J44" s="76"/>
      <c r="K44" s="29">
        <f t="shared" si="11"/>
        <v>0</v>
      </c>
      <c r="L44" s="76"/>
      <c r="M44" s="76"/>
      <c r="N44" s="76"/>
      <c r="O44" s="76"/>
      <c r="P44" s="76"/>
      <c r="Q44" s="76">
        <v>511741</v>
      </c>
      <c r="R44" s="76"/>
      <c r="S44" s="76"/>
      <c r="T44" s="76"/>
      <c r="U44" s="76"/>
      <c r="V44" s="29"/>
      <c r="W44" s="29">
        <f t="shared" si="3"/>
        <v>94052</v>
      </c>
      <c r="X44" s="76"/>
      <c r="Y44" s="76"/>
      <c r="Z44" s="76">
        <f>144354-50302</f>
        <v>94052</v>
      </c>
      <c r="AA44" s="76"/>
      <c r="AB44" s="76"/>
      <c r="AC44" s="76"/>
      <c r="AD44" s="76"/>
      <c r="AE44" s="29">
        <f t="shared" si="4"/>
        <v>0</v>
      </c>
      <c r="AF44" s="29"/>
      <c r="AG44" s="29"/>
      <c r="AH44" s="29">
        <f t="shared" si="5"/>
        <v>410528</v>
      </c>
      <c r="AI44" s="76">
        <v>179856</v>
      </c>
      <c r="AJ44" s="76">
        <v>63936</v>
      </c>
      <c r="AK44" s="76">
        <v>143936</v>
      </c>
      <c r="AL44" s="76">
        <v>22800</v>
      </c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>
        <f>450000</f>
        <v>450000</v>
      </c>
      <c r="AY44" s="77">
        <v>351850</v>
      </c>
      <c r="AZ44" s="77"/>
      <c r="BA44" s="77"/>
      <c r="BB44" s="77"/>
      <c r="BC44" s="77"/>
      <c r="BD44" s="77"/>
      <c r="BE44" s="77"/>
      <c r="BF44" s="77">
        <f>91000-25000</f>
        <v>66000</v>
      </c>
      <c r="BG44" s="77"/>
      <c r="BH44" s="77"/>
      <c r="BI44" s="39"/>
      <c r="BJ44" s="39"/>
      <c r="BK44" s="39"/>
      <c r="BL44" s="39"/>
      <c r="BM44" s="29">
        <f t="shared" si="0"/>
        <v>109105204</v>
      </c>
      <c r="BN44" s="29"/>
      <c r="BO44" s="29"/>
      <c r="BP44" s="29"/>
      <c r="BQ44" s="77"/>
      <c r="BR44" s="77"/>
      <c r="BS44" s="77"/>
      <c r="BT44" s="77"/>
      <c r="BU44" s="77"/>
      <c r="BV44" s="77">
        <v>5600</v>
      </c>
      <c r="BW44" s="77"/>
      <c r="BX44" s="77"/>
      <c r="BY44" s="77"/>
      <c r="BZ44" s="77"/>
      <c r="CA44" s="77"/>
      <c r="CB44" s="77"/>
      <c r="CC44" s="77"/>
      <c r="CD44" s="77"/>
      <c r="CE44" s="39"/>
      <c r="CF44" s="39"/>
      <c r="CG44" s="39"/>
      <c r="CH44" s="29">
        <f t="shared" si="1"/>
        <v>5600</v>
      </c>
      <c r="CI44" s="77"/>
    </row>
    <row r="45" spans="1:87" ht="63" customHeight="1" x14ac:dyDescent="0.8">
      <c r="A45" s="12" t="s">
        <v>43</v>
      </c>
      <c r="B45" s="13" t="s">
        <v>77</v>
      </c>
      <c r="C45" s="28"/>
      <c r="D45" s="28">
        <f>992300+1013500</f>
        <v>2005800</v>
      </c>
      <c r="E45" s="28">
        <f>55280000-15500+329800</f>
        <v>55594300</v>
      </c>
      <c r="F45" s="28">
        <v>76719900</v>
      </c>
      <c r="G45" s="28">
        <f>2298800-115000-125100-103600</f>
        <v>1955100</v>
      </c>
      <c r="H45" s="76">
        <f>5698506-635000</f>
        <v>5063506</v>
      </c>
      <c r="I45" s="76"/>
      <c r="J45" s="76"/>
      <c r="K45" s="29">
        <f t="shared" si="11"/>
        <v>0</v>
      </c>
      <c r="L45" s="76"/>
      <c r="M45" s="76"/>
      <c r="N45" s="76"/>
      <c r="O45" s="76"/>
      <c r="P45" s="76"/>
      <c r="Q45" s="76">
        <f>658330-274305</f>
        <v>384025</v>
      </c>
      <c r="R45" s="76"/>
      <c r="S45" s="76"/>
      <c r="T45" s="76"/>
      <c r="U45" s="76"/>
      <c r="V45" s="29"/>
      <c r="W45" s="29">
        <f t="shared" si="3"/>
        <v>47026</v>
      </c>
      <c r="X45" s="76"/>
      <c r="Y45" s="76"/>
      <c r="Z45" s="76">
        <f>48118-1092</f>
        <v>47026</v>
      </c>
      <c r="AA45" s="76"/>
      <c r="AB45" s="76"/>
      <c r="AC45" s="76"/>
      <c r="AD45" s="76"/>
      <c r="AE45" s="29">
        <f t="shared" si="4"/>
        <v>0</v>
      </c>
      <c r="AF45" s="29"/>
      <c r="AG45" s="29"/>
      <c r="AH45" s="29">
        <f t="shared" si="5"/>
        <v>236340</v>
      </c>
      <c r="AI45" s="76">
        <v>89928</v>
      </c>
      <c r="AJ45" s="76">
        <v>47952</v>
      </c>
      <c r="AK45" s="76">
        <v>89960</v>
      </c>
      <c r="AL45" s="76">
        <v>8500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>
        <f>450000</f>
        <v>450000</v>
      </c>
      <c r="AY45" s="77">
        <f>460000-70000</f>
        <v>390000</v>
      </c>
      <c r="AZ45" s="77"/>
      <c r="BA45" s="77"/>
      <c r="BB45" s="77"/>
      <c r="BC45" s="77"/>
      <c r="BD45" s="77"/>
      <c r="BE45" s="77"/>
      <c r="BF45" s="77">
        <v>91000</v>
      </c>
      <c r="BG45" s="77"/>
      <c r="BH45" s="77"/>
      <c r="BI45" s="39"/>
      <c r="BJ45" s="39"/>
      <c r="BK45" s="39"/>
      <c r="BL45" s="39"/>
      <c r="BM45" s="29">
        <f t="shared" ref="BM45:BM76" si="12">SUM(C45:BK45)-X45-Y45-Z45-AA45-AB45-AC45-AD45-AT45-L45-M45-N45-AI45-AJ45-AK45-AF45-AG45-AL45+BL45</f>
        <v>142936997</v>
      </c>
      <c r="BN45" s="29"/>
      <c r="BO45" s="29"/>
      <c r="BP45" s="29"/>
      <c r="BQ45" s="77"/>
      <c r="BR45" s="77"/>
      <c r="BS45" s="77"/>
      <c r="BT45" s="77"/>
      <c r="BU45" s="77"/>
      <c r="BV45" s="77">
        <f>6200</f>
        <v>6200</v>
      </c>
      <c r="BW45" s="77"/>
      <c r="BX45" s="77"/>
      <c r="BY45" s="77"/>
      <c r="BZ45" s="77"/>
      <c r="CA45" s="77"/>
      <c r="CB45" s="77"/>
      <c r="CC45" s="77"/>
      <c r="CD45" s="77"/>
      <c r="CE45" s="39"/>
      <c r="CF45" s="39"/>
      <c r="CG45" s="39"/>
      <c r="CH45" s="29">
        <f t="shared" ref="CH45:CH76" si="13">SUM(BN45:CG45)</f>
        <v>6200</v>
      </c>
      <c r="CI45" s="77"/>
    </row>
    <row r="46" spans="1:87" ht="59.25" customHeight="1" x14ac:dyDescent="0.8">
      <c r="A46" s="12" t="s">
        <v>44</v>
      </c>
      <c r="B46" s="13" t="s">
        <v>78</v>
      </c>
      <c r="C46" s="28"/>
      <c r="D46" s="28">
        <f>1477800+1509400</f>
        <v>2987200</v>
      </c>
      <c r="E46" s="28">
        <f>42979800+1573700+991000</f>
        <v>45544500</v>
      </c>
      <c r="F46" s="28">
        <v>71648200</v>
      </c>
      <c r="G46" s="28">
        <f>1143500-625500+285900+433400</f>
        <v>1237300</v>
      </c>
      <c r="H46" s="76">
        <v>1781790</v>
      </c>
      <c r="I46" s="76"/>
      <c r="J46" s="76"/>
      <c r="K46" s="29">
        <f t="shared" si="11"/>
        <v>0</v>
      </c>
      <c r="L46" s="76"/>
      <c r="M46" s="76"/>
      <c r="N46" s="76"/>
      <c r="O46" s="76"/>
      <c r="P46" s="76"/>
      <c r="Q46" s="76">
        <f>297452-297452</f>
        <v>0</v>
      </c>
      <c r="R46" s="76"/>
      <c r="S46" s="76"/>
      <c r="T46" s="76"/>
      <c r="U46" s="76"/>
      <c r="V46" s="29"/>
      <c r="W46" s="29">
        <f t="shared" si="3"/>
        <v>23513</v>
      </c>
      <c r="X46" s="76"/>
      <c r="Y46" s="76">
        <f>1339500-1339500</f>
        <v>0</v>
      </c>
      <c r="Z46" s="76">
        <f>48118-24605</f>
        <v>23513</v>
      </c>
      <c r="AA46" s="76"/>
      <c r="AB46" s="76"/>
      <c r="AC46" s="76"/>
      <c r="AD46" s="76"/>
      <c r="AE46" s="29">
        <f t="shared" si="4"/>
        <v>0</v>
      </c>
      <c r="AF46" s="29">
        <f>30611-30611</f>
        <v>0</v>
      </c>
      <c r="AG46" s="29"/>
      <c r="AH46" s="29">
        <f t="shared" si="5"/>
        <v>97607</v>
      </c>
      <c r="AI46" s="76">
        <v>44964</v>
      </c>
      <c r="AJ46" s="76">
        <v>12987</v>
      </c>
      <c r="AK46" s="76">
        <v>35984</v>
      </c>
      <c r="AL46" s="76">
        <v>3672</v>
      </c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>
        <f>350000</f>
        <v>350000</v>
      </c>
      <c r="AY46" s="77">
        <v>380000</v>
      </c>
      <c r="AZ46" s="77"/>
      <c r="BA46" s="77"/>
      <c r="BB46" s="77"/>
      <c r="BC46" s="77"/>
      <c r="BD46" s="77"/>
      <c r="BE46" s="77"/>
      <c r="BF46" s="77">
        <f>91000+32000+75000</f>
        <v>198000</v>
      </c>
      <c r="BG46" s="77"/>
      <c r="BH46" s="77"/>
      <c r="BI46" s="39"/>
      <c r="BJ46" s="39"/>
      <c r="BK46" s="39"/>
      <c r="BL46" s="39"/>
      <c r="BM46" s="29">
        <f t="shared" si="12"/>
        <v>124248110</v>
      </c>
      <c r="BN46" s="29"/>
      <c r="BO46" s="29"/>
      <c r="BP46" s="29"/>
      <c r="BQ46" s="77"/>
      <c r="BR46" s="77"/>
      <c r="BS46" s="77"/>
      <c r="BT46" s="77"/>
      <c r="BU46" s="77"/>
      <c r="BV46" s="77">
        <v>2300</v>
      </c>
      <c r="BW46" s="77"/>
      <c r="BX46" s="77"/>
      <c r="BY46" s="77"/>
      <c r="BZ46" s="77"/>
      <c r="CA46" s="77"/>
      <c r="CB46" s="77"/>
      <c r="CC46" s="77"/>
      <c r="CD46" s="77"/>
      <c r="CE46" s="39"/>
      <c r="CF46" s="39"/>
      <c r="CG46" s="39"/>
      <c r="CH46" s="29">
        <f t="shared" si="13"/>
        <v>2300</v>
      </c>
      <c r="CI46" s="77"/>
    </row>
    <row r="47" spans="1:87" ht="63" customHeight="1" x14ac:dyDescent="0.8">
      <c r="A47" s="12" t="s">
        <v>45</v>
      </c>
      <c r="B47" s="13" t="s">
        <v>79</v>
      </c>
      <c r="C47" s="28"/>
      <c r="D47" s="28">
        <f>2398900+2450200</f>
        <v>4849100</v>
      </c>
      <c r="E47" s="28">
        <f>41940600-730800+121200</f>
        <v>41331000</v>
      </c>
      <c r="F47" s="28">
        <v>65189300</v>
      </c>
      <c r="G47" s="28">
        <f>1324300+48300-93600-58600</f>
        <v>1220400</v>
      </c>
      <c r="H47" s="76">
        <v>2168609</v>
      </c>
      <c r="I47" s="76"/>
      <c r="J47" s="76"/>
      <c r="K47" s="29">
        <f t="shared" si="11"/>
        <v>0</v>
      </c>
      <c r="L47" s="76"/>
      <c r="M47" s="76"/>
      <c r="N47" s="76"/>
      <c r="O47" s="76">
        <v>386815</v>
      </c>
      <c r="P47" s="76">
        <v>58330</v>
      </c>
      <c r="Q47" s="76">
        <f>684757+44710</f>
        <v>729467</v>
      </c>
      <c r="R47" s="76"/>
      <c r="S47" s="76"/>
      <c r="T47" s="76"/>
      <c r="U47" s="76"/>
      <c r="V47" s="29"/>
      <c r="W47" s="29">
        <f t="shared" si="3"/>
        <v>70539</v>
      </c>
      <c r="X47" s="76"/>
      <c r="Y47" s="76">
        <f>1339500-1339500</f>
        <v>0</v>
      </c>
      <c r="Z47" s="76">
        <f>156384-85845</f>
        <v>70539</v>
      </c>
      <c r="AA47" s="76"/>
      <c r="AB47" s="76"/>
      <c r="AC47" s="76"/>
      <c r="AD47" s="76"/>
      <c r="AE47" s="29">
        <f t="shared" si="4"/>
        <v>0</v>
      </c>
      <c r="AF47" s="29"/>
      <c r="AG47" s="29"/>
      <c r="AH47" s="29">
        <f t="shared" si="5"/>
        <v>102083</v>
      </c>
      <c r="AI47" s="76">
        <v>44964</v>
      </c>
      <c r="AJ47" s="76">
        <v>16983</v>
      </c>
      <c r="AK47" s="76">
        <v>35984</v>
      </c>
      <c r="AL47" s="76">
        <v>4152</v>
      </c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>
        <v>400000</v>
      </c>
      <c r="AZ47" s="77"/>
      <c r="BA47" s="77"/>
      <c r="BB47" s="77"/>
      <c r="BC47" s="77"/>
      <c r="BD47" s="77"/>
      <c r="BE47" s="77"/>
      <c r="BF47" s="77">
        <v>91000</v>
      </c>
      <c r="BG47" s="77"/>
      <c r="BH47" s="77"/>
      <c r="BI47" s="39"/>
      <c r="BJ47" s="39"/>
      <c r="BK47" s="39"/>
      <c r="BL47" s="39"/>
      <c r="BM47" s="29">
        <f t="shared" si="12"/>
        <v>116596643</v>
      </c>
      <c r="BN47" s="29"/>
      <c r="BO47" s="29"/>
      <c r="BP47" s="29"/>
      <c r="BQ47" s="77"/>
      <c r="BR47" s="77"/>
      <c r="BS47" s="77"/>
      <c r="BT47" s="77"/>
      <c r="BU47" s="77"/>
      <c r="BV47" s="77">
        <f>1900</f>
        <v>1900</v>
      </c>
      <c r="BW47" s="77"/>
      <c r="BX47" s="77"/>
      <c r="BY47" s="77"/>
      <c r="BZ47" s="77"/>
      <c r="CA47" s="77"/>
      <c r="CB47" s="77"/>
      <c r="CC47" s="77"/>
      <c r="CD47" s="77"/>
      <c r="CE47" s="39"/>
      <c r="CF47" s="39"/>
      <c r="CG47" s="39"/>
      <c r="CH47" s="29">
        <f t="shared" si="13"/>
        <v>1900</v>
      </c>
      <c r="CI47" s="77"/>
    </row>
    <row r="48" spans="1:87" ht="63" customHeight="1" x14ac:dyDescent="0.8">
      <c r="A48" s="12" t="s">
        <v>46</v>
      </c>
      <c r="B48" s="13" t="s">
        <v>80</v>
      </c>
      <c r="C48" s="28"/>
      <c r="D48" s="28">
        <f>1829200+1868200</f>
        <v>3697400</v>
      </c>
      <c r="E48" s="28">
        <f>20312700+117000-136800</f>
        <v>20292900</v>
      </c>
      <c r="F48" s="28">
        <v>26764900</v>
      </c>
      <c r="G48" s="28">
        <f>1331600-49500+115800-43300</f>
        <v>1354600</v>
      </c>
      <c r="H48" s="76">
        <v>2085662</v>
      </c>
      <c r="I48" s="76"/>
      <c r="J48" s="76"/>
      <c r="K48" s="29">
        <f t="shared" si="11"/>
        <v>200</v>
      </c>
      <c r="L48" s="76"/>
      <c r="M48" s="76"/>
      <c r="N48" s="76">
        <v>200</v>
      </c>
      <c r="O48" s="76"/>
      <c r="P48" s="76"/>
      <c r="Q48" s="76">
        <f>237736-178299</f>
        <v>59437</v>
      </c>
      <c r="R48" s="76"/>
      <c r="S48" s="76"/>
      <c r="T48" s="76"/>
      <c r="U48" s="76"/>
      <c r="V48" s="29"/>
      <c r="W48" s="29">
        <f t="shared" si="3"/>
        <v>1410039</v>
      </c>
      <c r="X48" s="76"/>
      <c r="Y48" s="76">
        <v>1339500</v>
      </c>
      <c r="Z48" s="76">
        <f>108266-37727</f>
        <v>70539</v>
      </c>
      <c r="AA48" s="76"/>
      <c r="AB48" s="76"/>
      <c r="AC48" s="76"/>
      <c r="AD48" s="76"/>
      <c r="AE48" s="29">
        <f t="shared" si="4"/>
        <v>0</v>
      </c>
      <c r="AF48" s="29"/>
      <c r="AG48" s="29"/>
      <c r="AH48" s="29">
        <f t="shared" si="5"/>
        <v>310359</v>
      </c>
      <c r="AI48" s="76">
        <v>134892</v>
      </c>
      <c r="AJ48" s="76">
        <v>52947</v>
      </c>
      <c r="AK48" s="76">
        <v>107952</v>
      </c>
      <c r="AL48" s="76">
        <v>14568</v>
      </c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>
        <f>1400000</f>
        <v>1400000</v>
      </c>
      <c r="AY48" s="77">
        <f>200000-200000</f>
        <v>0</v>
      </c>
      <c r="AZ48" s="77"/>
      <c r="BA48" s="77"/>
      <c r="BB48" s="77"/>
      <c r="BC48" s="77"/>
      <c r="BD48" s="77"/>
      <c r="BE48" s="77"/>
      <c r="BF48" s="77">
        <f>90000-40000+81000</f>
        <v>131000</v>
      </c>
      <c r="BG48" s="77"/>
      <c r="BH48" s="77"/>
      <c r="BI48" s="39"/>
      <c r="BJ48" s="39"/>
      <c r="BK48" s="39"/>
      <c r="BL48" s="39"/>
      <c r="BM48" s="29">
        <f t="shared" si="12"/>
        <v>57506497</v>
      </c>
      <c r="BN48" s="29"/>
      <c r="BO48" s="29"/>
      <c r="BP48" s="29"/>
      <c r="BQ48" s="77"/>
      <c r="BR48" s="77"/>
      <c r="BS48" s="77"/>
      <c r="BT48" s="77"/>
      <c r="BU48" s="77"/>
      <c r="BV48" s="77">
        <f>4684</f>
        <v>4684</v>
      </c>
      <c r="BW48" s="77"/>
      <c r="BX48" s="77"/>
      <c r="BY48" s="77"/>
      <c r="BZ48" s="77"/>
      <c r="CA48" s="77"/>
      <c r="CB48" s="77"/>
      <c r="CC48" s="77"/>
      <c r="CD48" s="77"/>
      <c r="CE48" s="39"/>
      <c r="CF48" s="39"/>
      <c r="CG48" s="39"/>
      <c r="CH48" s="29">
        <f t="shared" si="13"/>
        <v>4684</v>
      </c>
      <c r="CI48" s="77"/>
    </row>
    <row r="49" spans="1:87" ht="63" customHeight="1" x14ac:dyDescent="0.8">
      <c r="A49" s="12"/>
      <c r="B49" s="13" t="s">
        <v>50</v>
      </c>
      <c r="C49" s="76">
        <f t="shared" ref="C49:J49" si="14">C48+C47+C46+C45+C44+C43+C42+C41+C40+C39+C38+C37+C36+C35+C34+C33+C32+C31+C30+C29+C28+C27</f>
        <v>0</v>
      </c>
      <c r="D49" s="76">
        <f>D48+D47+D46+D45+D44+D43+D42+D41+D40+D39+D38+D37+D36+D35+D34+D33+D32+D31+D30+D29+D28+D27</f>
        <v>126077500</v>
      </c>
      <c r="E49" s="76">
        <f t="shared" si="14"/>
        <v>1328731900</v>
      </c>
      <c r="F49" s="76">
        <f t="shared" si="14"/>
        <v>1648276200</v>
      </c>
      <c r="G49" s="76">
        <f t="shared" si="14"/>
        <v>43136300</v>
      </c>
      <c r="H49" s="76">
        <f t="shared" si="14"/>
        <v>69229233</v>
      </c>
      <c r="I49" s="76">
        <f t="shared" si="14"/>
        <v>1070000</v>
      </c>
      <c r="J49" s="76">
        <f t="shared" si="14"/>
        <v>0</v>
      </c>
      <c r="K49" s="76">
        <f>K48+K47+K46+K45+K44+K43+K42+K41+K40+K39+K38+K37+K36+K35+K34+K33+K32+K31+K30+K29+K28+K27</f>
        <v>1460700</v>
      </c>
      <c r="L49" s="76">
        <f>L48+L47+L46+L45+L44+L43+L42+L41+L40+L39+L38+L37+L36+L35+L34+L33+L32+L31+L30+L29+L28+L27</f>
        <v>64600</v>
      </c>
      <c r="M49" s="76">
        <f>M48+M47+M46+M45+M44+M43+M42+M41+M40+M39+M38+M37+M36+M35+M34+M33+M32+M31+M30+M29+M28+M27</f>
        <v>1389000</v>
      </c>
      <c r="N49" s="76">
        <f>N48+N47+N46+N45+N44+N43+N42+N41+N40+N39+N38+N37+N36+N35+N34+N33+N32+N31+N30+N29+N28+N27</f>
        <v>7100</v>
      </c>
      <c r="O49" s="76">
        <f>O27+O28+O29+O30+O31+O32+O33+O34+O35+O36+O37+O38+O39+O40+O41+O42+O43+O44+O45+O46+O47+O48</f>
        <v>10980357</v>
      </c>
      <c r="P49" s="76">
        <f>P27+P28+P29+P30+P31+P32+P33+P34+P35+P36+P37+P38+P39+P40+P41+P42+P43+P44+P45+P46+P47+P48</f>
        <v>1655774</v>
      </c>
      <c r="Q49" s="76">
        <f>Q48+Q47+Q46+Q45+Q44+Q43+Q42+Q41+Q40+Q39+Q38+Q37+Q36+Q35+Q34+Q33+Q32+Q31+Q30+Q29+Q28+Q27</f>
        <v>14203648</v>
      </c>
      <c r="R49" s="76">
        <f>R27+R28+R29+R30+R31+R32+R33+R34+R35+R36+R37+R38+R39+R40+R41+R42+R43+R44+R45+R46+R47+R48</f>
        <v>7051725.7400000002</v>
      </c>
      <c r="S49" s="76">
        <f>S27+S28+S29+S30+S31+S32+S33+S34+S35+S36+S37+S38+S39+S40+S41+S42+S43+S44+S45+S46+S47+S48</f>
        <v>3002084</v>
      </c>
      <c r="T49" s="76">
        <f>T27+T28+T29+T30+T31+T32+T33+T34+T35+T36+T37+T38+T39+T40+T41+T42+T43+T44+T45+T46+T47+T48</f>
        <v>784883.96</v>
      </c>
      <c r="U49" s="76">
        <f>U48+U47+U46+U45+U44+U43+U42+U41+U40+U39+U38+U37+U36+U35+U34+U33+U32+U31+U30+U29+U28+U27</f>
        <v>166250</v>
      </c>
      <c r="V49" s="29"/>
      <c r="W49" s="29">
        <f t="shared" si="3"/>
        <v>30064749</v>
      </c>
      <c r="X49" s="76">
        <f t="shared" ref="X49:AM49" si="15">X48+X47+X46+X45+X44+X43+X42+X41+X40+X39+X38+X37+X36+X35+X34+X33+X32+X31+X30+X29+X28+X27</f>
        <v>10635123</v>
      </c>
      <c r="Y49" s="76">
        <f t="shared" si="15"/>
        <v>16074300</v>
      </c>
      <c r="Z49" s="76">
        <f t="shared" si="15"/>
        <v>3233041</v>
      </c>
      <c r="AA49" s="76">
        <f t="shared" si="15"/>
        <v>0</v>
      </c>
      <c r="AB49" s="76">
        <f t="shared" si="15"/>
        <v>122285</v>
      </c>
      <c r="AC49" s="76">
        <f t="shared" si="15"/>
        <v>0</v>
      </c>
      <c r="AD49" s="76">
        <f t="shared" si="15"/>
        <v>0</v>
      </c>
      <c r="AE49" s="29">
        <f t="shared" si="4"/>
        <v>2628352</v>
      </c>
      <c r="AF49" s="29">
        <f>SUM(AF27:AF48)</f>
        <v>979552</v>
      </c>
      <c r="AG49" s="29">
        <f>SUM(AG27:AG48)</f>
        <v>1648800</v>
      </c>
      <c r="AH49" s="29">
        <f t="shared" si="5"/>
        <v>15001379</v>
      </c>
      <c r="AI49" s="76">
        <f>SUM(AI27:AI48)</f>
        <v>6092622</v>
      </c>
      <c r="AJ49" s="76">
        <f>SUM(AJ27:AJ48)</f>
        <v>4142853</v>
      </c>
      <c r="AK49" s="76">
        <f>SUM(AK27:AK48)</f>
        <v>4210144</v>
      </c>
      <c r="AL49" s="76">
        <f>SUM(AL27:AL48)</f>
        <v>555760</v>
      </c>
      <c r="AM49" s="76">
        <f t="shared" si="15"/>
        <v>0</v>
      </c>
      <c r="AN49" s="76">
        <f>AN48+AN47+AN46+AN45+AN44+AN43+AN42+AN41+AN40+AN39+AN38+AN37+AN36+AN35+AN34+AN33+AN32+AN31+AN30+AN29+AN28+AN27</f>
        <v>0</v>
      </c>
      <c r="AO49" s="76"/>
      <c r="AP49" s="76"/>
      <c r="AQ49" s="76">
        <f>AQ48+AQ47+AQ46+AQ45+AQ44+AQ43+AQ42+AQ41+AQ40+AQ39+AQ38+AQ37+AQ36+AQ35+AQ34+AQ33+AQ32+AQ31+AQ30+AQ29+AQ28+AQ27</f>
        <v>0</v>
      </c>
      <c r="AR49" s="76"/>
      <c r="AS49" s="76">
        <f>AS48+AS47+AS46+AS45+AS44+AS43+AS42+AS41+AS40+AS39+AS38+AS37+AS36+AS35+AS34+AS33+AS32+AS31+AS30+AS29+AS28+AS27</f>
        <v>0</v>
      </c>
      <c r="AT49" s="76">
        <f>AT48+AT47+AT46+AT45+AT44+AT43+AT42+AT41+AT40+AT39+AT38+AT37+AT36+AT35+AT34+AT33+AT32+AT31+AT30+AT29+AT28+AT27</f>
        <v>0</v>
      </c>
      <c r="AU49" s="76"/>
      <c r="AV49" s="76"/>
      <c r="AW49" s="76">
        <f>AW48+AW47+AW46+AW45+AW44+AW43+AW42+AW41+AW40+AW39+AW38+AW37+AW36+AW35+AW34+AW33+AW32+AW31+AW30+AW29+AW28+AW27</f>
        <v>0</v>
      </c>
      <c r="AX49" s="76">
        <f>AX27+AX28+AX29+AX30+AX31+AX32+AX33+AX34+AX35+AX36+AX37+AX38+AX39+AX40+AX41+AX42+AX43+AX44+AX45+AX46+AX47+AX48</f>
        <v>5050000</v>
      </c>
      <c r="AY49" s="76">
        <f>AY48+AY47+AY46+AY45+AY44+AY43+AY42+AY41+AY40+AY39+AY38+AY37+AY36+AY35+AY34+AY33+AY32+AY31+AY30+AY29+AY28+AY27</f>
        <v>11651850</v>
      </c>
      <c r="AZ49" s="76">
        <f t="shared" ref="AZ49:BK49" si="16">AZ48+AZ47+AZ46+AZ45+AZ44+AZ43+AZ42+AZ41+AZ40+AZ39+AZ38+AZ37+AZ36+AZ35+AZ34+AZ33+AZ32+AZ31+AZ30+AZ29+AZ28+AZ27</f>
        <v>27500</v>
      </c>
      <c r="BA49" s="76">
        <f t="shared" si="16"/>
        <v>0</v>
      </c>
      <c r="BB49" s="76">
        <f t="shared" si="16"/>
        <v>0</v>
      </c>
      <c r="BC49" s="76">
        <f t="shared" si="16"/>
        <v>550000</v>
      </c>
      <c r="BD49" s="76">
        <f t="shared" si="16"/>
        <v>26000</v>
      </c>
      <c r="BE49" s="76">
        <f t="shared" si="16"/>
        <v>0</v>
      </c>
      <c r="BF49" s="76">
        <f t="shared" si="16"/>
        <v>2468000</v>
      </c>
      <c r="BG49" s="76">
        <f t="shared" si="16"/>
        <v>0</v>
      </c>
      <c r="BH49" s="76">
        <f t="shared" si="16"/>
        <v>6115000</v>
      </c>
      <c r="BI49" s="76">
        <f t="shared" si="16"/>
        <v>0</v>
      </c>
      <c r="BJ49" s="76">
        <f t="shared" si="16"/>
        <v>0</v>
      </c>
      <c r="BK49" s="76">
        <f t="shared" si="16"/>
        <v>11066820</v>
      </c>
      <c r="BL49" s="29"/>
      <c r="BM49" s="29">
        <f t="shared" si="12"/>
        <v>3340476205.6999998</v>
      </c>
      <c r="BN49" s="76">
        <f t="shared" ref="BN49:CG49" si="17">BN48+BN47+BN46+BN45+BN44+BN43+BN42+BN41+BN40+BN39+BN38+BN37+BN36+BN35+BN34+BN33+BN32+BN31+BN30+BN29+BN28+BN27</f>
        <v>0</v>
      </c>
      <c r="BO49" s="76">
        <f t="shared" si="17"/>
        <v>0</v>
      </c>
      <c r="BP49" s="76">
        <f t="shared" si="17"/>
        <v>147200</v>
      </c>
      <c r="BQ49" s="76">
        <f t="shared" si="17"/>
        <v>0</v>
      </c>
      <c r="BR49" s="76">
        <f t="shared" si="17"/>
        <v>4554000</v>
      </c>
      <c r="BS49" s="76">
        <f t="shared" si="17"/>
        <v>0</v>
      </c>
      <c r="BT49" s="76">
        <f t="shared" si="17"/>
        <v>11138958</v>
      </c>
      <c r="BU49" s="76">
        <f t="shared" si="17"/>
        <v>0</v>
      </c>
      <c r="BV49" s="76">
        <f>BV48+BV47+BV46+BV45+BV44+BV43+BV42+BV41+BV40+BV39+BV38+BV37+BV36+BV35+BV34+BV33+BV32+BV31+BV30+BV29+BV28+BV27</f>
        <v>332846</v>
      </c>
      <c r="BW49" s="76">
        <f t="shared" si="17"/>
        <v>0</v>
      </c>
      <c r="BX49" s="76">
        <f t="shared" si="17"/>
        <v>0</v>
      </c>
      <c r="BY49" s="76">
        <f t="shared" si="17"/>
        <v>0</v>
      </c>
      <c r="BZ49" s="76">
        <f t="shared" si="17"/>
        <v>0</v>
      </c>
      <c r="CA49" s="88">
        <f t="shared" si="17"/>
        <v>10000</v>
      </c>
      <c r="CB49" s="76">
        <f t="shared" si="17"/>
        <v>0</v>
      </c>
      <c r="CC49" s="76">
        <f t="shared" si="17"/>
        <v>0</v>
      </c>
      <c r="CD49" s="76">
        <f t="shared" si="17"/>
        <v>0</v>
      </c>
      <c r="CE49" s="76">
        <f t="shared" si="17"/>
        <v>0</v>
      </c>
      <c r="CF49" s="76">
        <f t="shared" si="17"/>
        <v>0</v>
      </c>
      <c r="CG49" s="76">
        <f t="shared" si="17"/>
        <v>106351</v>
      </c>
      <c r="CH49" s="29">
        <f t="shared" si="13"/>
        <v>16289355</v>
      </c>
      <c r="CI49" s="76">
        <f>CI48+CI47+CI46+CI45+CI44+CI43+CI42+CI41+CI40+CI39+CI38+CI37+CI36+CI35+CI34+CI33+CI32+CI31+CI30+CI29+CI28+CI27</f>
        <v>0</v>
      </c>
    </row>
    <row r="50" spans="1:87" ht="59.25" customHeight="1" x14ac:dyDescent="0.8">
      <c r="A50" s="12"/>
      <c r="B50" s="13" t="s">
        <v>99</v>
      </c>
      <c r="C50" s="76"/>
      <c r="D50" s="76"/>
      <c r="E50" s="76"/>
      <c r="F50" s="76"/>
      <c r="G50" s="76"/>
      <c r="H50" s="76"/>
      <c r="I50" s="76"/>
      <c r="J50" s="76"/>
      <c r="K50" s="29">
        <f>L50</f>
        <v>0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29"/>
      <c r="W50" s="29">
        <f t="shared" si="3"/>
        <v>0</v>
      </c>
      <c r="X50" s="76"/>
      <c r="Y50" s="76"/>
      <c r="Z50" s="76"/>
      <c r="AA50" s="76"/>
      <c r="AB50" s="76"/>
      <c r="AC50" s="76"/>
      <c r="AD50" s="76"/>
      <c r="AE50" s="29">
        <f t="shared" si="4"/>
        <v>0</v>
      </c>
      <c r="AF50" s="29"/>
      <c r="AG50" s="29"/>
      <c r="AH50" s="29">
        <f t="shared" si="5"/>
        <v>0</v>
      </c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29"/>
      <c r="BJ50" s="29"/>
      <c r="BK50" s="29"/>
      <c r="BL50" s="29"/>
      <c r="BM50" s="29">
        <f t="shared" si="12"/>
        <v>0</v>
      </c>
      <c r="BN50" s="29"/>
      <c r="BO50" s="29"/>
      <c r="BP50" s="29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29"/>
      <c r="CF50" s="29"/>
      <c r="CG50" s="29"/>
      <c r="CH50" s="29">
        <f t="shared" si="13"/>
        <v>0</v>
      </c>
      <c r="CI50" s="76"/>
    </row>
    <row r="51" spans="1:87" ht="59.25" customHeight="1" x14ac:dyDescent="0.8">
      <c r="A51" s="12" t="s">
        <v>100</v>
      </c>
      <c r="B51" s="13" t="s">
        <v>101</v>
      </c>
      <c r="C51" s="76"/>
      <c r="D51" s="76">
        <f>3793400+3874300</f>
        <v>7667700</v>
      </c>
      <c r="E51" s="76"/>
      <c r="F51" s="76"/>
      <c r="G51" s="76"/>
      <c r="H51" s="76"/>
      <c r="I51" s="76"/>
      <c r="J51" s="76"/>
      <c r="K51" s="29">
        <f>L51</f>
        <v>0</v>
      </c>
      <c r="L51" s="76"/>
      <c r="M51" s="76"/>
      <c r="N51" s="76"/>
      <c r="O51" s="76">
        <v>916655</v>
      </c>
      <c r="P51" s="76">
        <v>138226</v>
      </c>
      <c r="Q51" s="76">
        <v>703875</v>
      </c>
      <c r="R51" s="76"/>
      <c r="S51" s="76"/>
      <c r="T51" s="76"/>
      <c r="U51" s="76"/>
      <c r="V51" s="29"/>
      <c r="W51" s="29">
        <f t="shared" si="3"/>
        <v>1596464</v>
      </c>
      <c r="X51" s="76"/>
      <c r="Y51" s="76">
        <v>1339500</v>
      </c>
      <c r="Z51" s="76">
        <f>262931-5967</f>
        <v>256964</v>
      </c>
      <c r="AA51" s="76"/>
      <c r="AB51" s="76"/>
      <c r="AC51" s="76"/>
      <c r="AD51" s="76"/>
      <c r="AE51" s="29">
        <f t="shared" si="4"/>
        <v>389766</v>
      </c>
      <c r="AF51" s="29">
        <v>183666</v>
      </c>
      <c r="AG51" s="29">
        <v>206100</v>
      </c>
      <c r="AH51" s="29">
        <f t="shared" si="5"/>
        <v>888271</v>
      </c>
      <c r="AI51" s="76">
        <v>382194</v>
      </c>
      <c r="AJ51" s="76">
        <v>273726</v>
      </c>
      <c r="AK51" s="76">
        <v>197911</v>
      </c>
      <c r="AL51" s="76">
        <v>34440</v>
      </c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>
        <f>385000+100000</f>
        <v>485000</v>
      </c>
      <c r="AZ51" s="76"/>
      <c r="BA51" s="76"/>
      <c r="BB51" s="76"/>
      <c r="BC51" s="76"/>
      <c r="BD51" s="76"/>
      <c r="BE51" s="76"/>
      <c r="BF51" s="76"/>
      <c r="BG51" s="76"/>
      <c r="BH51" s="76"/>
      <c r="BI51" s="29"/>
      <c r="BJ51" s="29"/>
      <c r="BK51" s="29"/>
      <c r="BL51" s="29"/>
      <c r="BM51" s="29">
        <f t="shared" si="12"/>
        <v>12785957</v>
      </c>
      <c r="BN51" s="29"/>
      <c r="BO51" s="29"/>
      <c r="BP51" s="29"/>
      <c r="BQ51" s="76"/>
      <c r="BR51" s="76"/>
      <c r="BS51" s="76"/>
      <c r="BT51" s="76"/>
      <c r="BU51" s="76"/>
      <c r="BV51" s="76">
        <v>23900</v>
      </c>
      <c r="BW51" s="76"/>
      <c r="BX51" s="76"/>
      <c r="BY51" s="76"/>
      <c r="BZ51" s="76"/>
      <c r="CA51" s="76"/>
      <c r="CB51" s="76"/>
      <c r="CC51" s="76"/>
      <c r="CD51" s="76"/>
      <c r="CE51" s="29"/>
      <c r="CF51" s="29"/>
      <c r="CG51" s="29"/>
      <c r="CH51" s="29">
        <f t="shared" si="13"/>
        <v>23900</v>
      </c>
      <c r="CI51" s="76"/>
    </row>
    <row r="52" spans="1:87" ht="59.25" customHeight="1" x14ac:dyDescent="0.8">
      <c r="A52" s="12" t="s">
        <v>102</v>
      </c>
      <c r="B52" s="13" t="s">
        <v>103</v>
      </c>
      <c r="C52" s="76"/>
      <c r="D52" s="76">
        <v>996200</v>
      </c>
      <c r="E52" s="76"/>
      <c r="F52" s="76"/>
      <c r="G52" s="76"/>
      <c r="H52" s="76"/>
      <c r="I52" s="76"/>
      <c r="J52" s="76"/>
      <c r="K52" s="29">
        <f>L52</f>
        <v>0</v>
      </c>
      <c r="L52" s="76"/>
      <c r="M52" s="76"/>
      <c r="N52" s="76"/>
      <c r="O52" s="76"/>
      <c r="P52" s="76"/>
      <c r="Q52" s="76">
        <f>554307-78000</f>
        <v>476307</v>
      </c>
      <c r="R52" s="76"/>
      <c r="S52" s="76"/>
      <c r="T52" s="76"/>
      <c r="U52" s="76"/>
      <c r="V52" s="29"/>
      <c r="W52" s="29">
        <f t="shared" si="3"/>
        <v>60462</v>
      </c>
      <c r="X52" s="76"/>
      <c r="Y52" s="76"/>
      <c r="Z52" s="76">
        <f>61866-1404</f>
        <v>60462</v>
      </c>
      <c r="AA52" s="76"/>
      <c r="AB52" s="76"/>
      <c r="AC52" s="76"/>
      <c r="AD52" s="76"/>
      <c r="AE52" s="29">
        <f t="shared" si="4"/>
        <v>91833</v>
      </c>
      <c r="AF52" s="29">
        <v>91833</v>
      </c>
      <c r="AG52" s="29"/>
      <c r="AH52" s="29">
        <f t="shared" si="5"/>
        <v>240265</v>
      </c>
      <c r="AI52" s="76">
        <v>89928</v>
      </c>
      <c r="AJ52" s="76">
        <v>70929</v>
      </c>
      <c r="AK52" s="76">
        <v>71968</v>
      </c>
      <c r="AL52" s="76">
        <v>7440</v>
      </c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>
        <v>65000</v>
      </c>
      <c r="AZ52" s="76"/>
      <c r="BA52" s="76"/>
      <c r="BB52" s="76"/>
      <c r="BC52" s="76"/>
      <c r="BD52" s="76"/>
      <c r="BE52" s="76"/>
      <c r="BF52" s="76"/>
      <c r="BG52" s="76"/>
      <c r="BH52" s="76"/>
      <c r="BI52" s="29"/>
      <c r="BJ52" s="29"/>
      <c r="BK52" s="29"/>
      <c r="BL52" s="29"/>
      <c r="BM52" s="29">
        <f t="shared" si="12"/>
        <v>1930067</v>
      </c>
      <c r="BN52" s="29"/>
      <c r="BO52" s="29"/>
      <c r="BP52" s="29"/>
      <c r="BQ52" s="76"/>
      <c r="BR52" s="76">
        <f>600000+1000000</f>
        <v>1600000</v>
      </c>
      <c r="BS52" s="76"/>
      <c r="BT52" s="76"/>
      <c r="BU52" s="76"/>
      <c r="BV52" s="76">
        <f>7000</f>
        <v>7000</v>
      </c>
      <c r="BW52" s="76"/>
      <c r="BX52" s="76"/>
      <c r="BY52" s="76"/>
      <c r="BZ52" s="76"/>
      <c r="CA52" s="76"/>
      <c r="CB52" s="76"/>
      <c r="CC52" s="76"/>
      <c r="CD52" s="76"/>
      <c r="CE52" s="29"/>
      <c r="CF52" s="29"/>
      <c r="CG52" s="29"/>
      <c r="CH52" s="29">
        <f t="shared" si="13"/>
        <v>1607000</v>
      </c>
      <c r="CI52" s="76"/>
    </row>
    <row r="53" spans="1:87" ht="55.5" customHeight="1" x14ac:dyDescent="0.8">
      <c r="A53" s="12" t="s">
        <v>104</v>
      </c>
      <c r="B53" s="13" t="s">
        <v>105</v>
      </c>
      <c r="C53" s="76"/>
      <c r="D53" s="76">
        <v>1083400</v>
      </c>
      <c r="E53" s="76"/>
      <c r="F53" s="76"/>
      <c r="G53" s="76"/>
      <c r="H53" s="76"/>
      <c r="I53" s="76"/>
      <c r="J53" s="76"/>
      <c r="K53" s="29">
        <f>L53</f>
        <v>0</v>
      </c>
      <c r="L53" s="76"/>
      <c r="M53" s="76"/>
      <c r="N53" s="76"/>
      <c r="O53" s="76"/>
      <c r="P53" s="76"/>
      <c r="Q53" s="76">
        <f>78000</f>
        <v>78000</v>
      </c>
      <c r="R53" s="76"/>
      <c r="S53" s="76"/>
      <c r="T53" s="76"/>
      <c r="U53" s="76"/>
      <c r="V53" s="29"/>
      <c r="W53" s="29">
        <f t="shared" si="3"/>
        <v>60462</v>
      </c>
      <c r="X53" s="76"/>
      <c r="Y53" s="76"/>
      <c r="Z53" s="76">
        <f>61866-1404</f>
        <v>60462</v>
      </c>
      <c r="AA53" s="76"/>
      <c r="AB53" s="76"/>
      <c r="AC53" s="76"/>
      <c r="AD53" s="76"/>
      <c r="AE53" s="29">
        <f t="shared" si="4"/>
        <v>122444</v>
      </c>
      <c r="AF53" s="29">
        <v>122444</v>
      </c>
      <c r="AG53" s="29"/>
      <c r="AH53" s="29">
        <f t="shared" si="5"/>
        <v>227648</v>
      </c>
      <c r="AI53" s="76">
        <v>89928</v>
      </c>
      <c r="AJ53" s="76">
        <v>75924</v>
      </c>
      <c r="AK53" s="76">
        <v>53976</v>
      </c>
      <c r="AL53" s="76">
        <v>7820</v>
      </c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>
        <v>65000</v>
      </c>
      <c r="AZ53" s="76"/>
      <c r="BA53" s="76"/>
      <c r="BB53" s="76"/>
      <c r="BC53" s="76">
        <v>550000</v>
      </c>
      <c r="BD53" s="76"/>
      <c r="BE53" s="76"/>
      <c r="BF53" s="76"/>
      <c r="BG53" s="76"/>
      <c r="BH53" s="76">
        <v>700000</v>
      </c>
      <c r="BI53" s="29"/>
      <c r="BJ53" s="29"/>
      <c r="BK53" s="29"/>
      <c r="BL53" s="29"/>
      <c r="BM53" s="29">
        <f t="shared" si="12"/>
        <v>2886954</v>
      </c>
      <c r="BN53" s="29"/>
      <c r="BO53" s="29"/>
      <c r="BP53" s="29"/>
      <c r="BQ53" s="76"/>
      <c r="BR53" s="76">
        <v>2577000</v>
      </c>
      <c r="BS53" s="76"/>
      <c r="BT53" s="76"/>
      <c r="BU53" s="76"/>
      <c r="BV53" s="76">
        <v>7600</v>
      </c>
      <c r="BW53" s="76"/>
      <c r="BX53" s="76"/>
      <c r="BY53" s="76"/>
      <c r="BZ53" s="76"/>
      <c r="CA53" s="76"/>
      <c r="CB53" s="76"/>
      <c r="CC53" s="76"/>
      <c r="CD53" s="76"/>
      <c r="CE53" s="29"/>
      <c r="CF53" s="29"/>
      <c r="CG53" s="29"/>
      <c r="CH53" s="29">
        <f t="shared" si="13"/>
        <v>2584600</v>
      </c>
      <c r="CI53" s="76"/>
    </row>
    <row r="54" spans="1:87" ht="59.25" customHeight="1" x14ac:dyDescent="0.8">
      <c r="A54" s="12" t="s">
        <v>106</v>
      </c>
      <c r="B54" s="13" t="s">
        <v>107</v>
      </c>
      <c r="C54" s="76"/>
      <c r="D54" s="76">
        <f>658200+672200</f>
        <v>1330400</v>
      </c>
      <c r="E54" s="76"/>
      <c r="F54" s="76"/>
      <c r="G54" s="76"/>
      <c r="H54" s="76"/>
      <c r="I54" s="76"/>
      <c r="J54" s="76"/>
      <c r="K54" s="29">
        <f>L54</f>
        <v>0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9"/>
      <c r="W54" s="29">
        <f t="shared" si="3"/>
        <v>1399962</v>
      </c>
      <c r="X54" s="76"/>
      <c r="Y54" s="76">
        <f>1339500</f>
        <v>1339500</v>
      </c>
      <c r="Z54" s="76">
        <f>61866-1404</f>
        <v>60462</v>
      </c>
      <c r="AA54" s="76"/>
      <c r="AB54" s="76"/>
      <c r="AC54" s="76"/>
      <c r="AD54" s="76"/>
      <c r="AE54" s="29">
        <f t="shared" si="4"/>
        <v>0</v>
      </c>
      <c r="AF54" s="29"/>
      <c r="AG54" s="29"/>
      <c r="AH54" s="29">
        <f t="shared" si="5"/>
        <v>158534</v>
      </c>
      <c r="AI54" s="76">
        <v>89928</v>
      </c>
      <c r="AJ54" s="76">
        <v>45954</v>
      </c>
      <c r="AK54" s="76">
        <v>17992</v>
      </c>
      <c r="AL54" s="76">
        <v>4660</v>
      </c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>
        <f>500000</f>
        <v>500000</v>
      </c>
      <c r="AY54" s="76">
        <v>30000</v>
      </c>
      <c r="AZ54" s="76"/>
      <c r="BA54" s="76"/>
      <c r="BB54" s="76"/>
      <c r="BC54" s="76"/>
      <c r="BD54" s="76"/>
      <c r="BE54" s="76"/>
      <c r="BF54" s="76"/>
      <c r="BG54" s="76"/>
      <c r="BH54" s="76"/>
      <c r="BI54" s="29"/>
      <c r="BJ54" s="29"/>
      <c r="BK54" s="29"/>
      <c r="BL54" s="29"/>
      <c r="BM54" s="29">
        <f t="shared" si="12"/>
        <v>3418896</v>
      </c>
      <c r="BN54" s="29"/>
      <c r="BO54" s="29"/>
      <c r="BP54" s="29"/>
      <c r="BQ54" s="76"/>
      <c r="BR54" s="76"/>
      <c r="BS54" s="76"/>
      <c r="BT54" s="76"/>
      <c r="BU54" s="76"/>
      <c r="BV54" s="76">
        <v>4300</v>
      </c>
      <c r="BW54" s="76"/>
      <c r="BX54" s="76"/>
      <c r="BY54" s="76"/>
      <c r="BZ54" s="76"/>
      <c r="CA54" s="76"/>
      <c r="CB54" s="76"/>
      <c r="CC54" s="76"/>
      <c r="CD54" s="76"/>
      <c r="CE54" s="29"/>
      <c r="CF54" s="29"/>
      <c r="CG54" s="29"/>
      <c r="CH54" s="29">
        <f t="shared" si="13"/>
        <v>4300</v>
      </c>
      <c r="CI54" s="76"/>
    </row>
    <row r="55" spans="1:87" ht="59.25" customHeight="1" x14ac:dyDescent="0.8">
      <c r="A55" s="12" t="s">
        <v>243</v>
      </c>
      <c r="B55" s="13" t="s">
        <v>244</v>
      </c>
      <c r="C55" s="76"/>
      <c r="D55" s="76">
        <f>507100+517900</f>
        <v>1025000</v>
      </c>
      <c r="E55" s="76"/>
      <c r="F55" s="76"/>
      <c r="G55" s="76"/>
      <c r="H55" s="76"/>
      <c r="I55" s="76">
        <v>2800000</v>
      </c>
      <c r="J55" s="76"/>
      <c r="K55" s="29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29"/>
      <c r="W55" s="29">
        <f t="shared" si="3"/>
        <v>45347</v>
      </c>
      <c r="X55" s="76"/>
      <c r="Y55" s="76"/>
      <c r="Z55" s="76">
        <f>46400-1053</f>
        <v>45347</v>
      </c>
      <c r="AA55" s="76"/>
      <c r="AB55" s="76"/>
      <c r="AC55" s="76"/>
      <c r="AD55" s="76"/>
      <c r="AE55" s="29">
        <f t="shared" si="4"/>
        <v>206100</v>
      </c>
      <c r="AF55" s="29"/>
      <c r="AG55" s="29">
        <v>206100</v>
      </c>
      <c r="AH55" s="29">
        <f t="shared" si="5"/>
        <v>177086</v>
      </c>
      <c r="AI55" s="76">
        <v>67446</v>
      </c>
      <c r="AJ55" s="76">
        <v>27972</v>
      </c>
      <c r="AK55" s="76">
        <v>71968</v>
      </c>
      <c r="AL55" s="76">
        <v>9700</v>
      </c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>
        <f>400000</f>
        <v>400000</v>
      </c>
      <c r="AY55" s="76">
        <v>80000</v>
      </c>
      <c r="AZ55" s="76"/>
      <c r="BA55" s="76"/>
      <c r="BB55" s="76"/>
      <c r="BC55" s="76"/>
      <c r="BD55" s="76"/>
      <c r="BE55" s="76"/>
      <c r="BF55" s="76"/>
      <c r="BG55" s="76"/>
      <c r="BH55" s="76"/>
      <c r="BI55" s="29"/>
      <c r="BJ55" s="29"/>
      <c r="BK55" s="29"/>
      <c r="BL55" s="29">
        <v>250000</v>
      </c>
      <c r="BM55" s="29">
        <f t="shared" si="12"/>
        <v>4983533</v>
      </c>
      <c r="BN55" s="29"/>
      <c r="BO55" s="29"/>
      <c r="BP55" s="29"/>
      <c r="BQ55" s="76"/>
      <c r="BR55" s="76"/>
      <c r="BS55" s="76"/>
      <c r="BT55" s="76"/>
      <c r="BU55" s="76"/>
      <c r="BV55" s="76">
        <v>3100</v>
      </c>
      <c r="BW55" s="76"/>
      <c r="BX55" s="76"/>
      <c r="BY55" s="76"/>
      <c r="BZ55" s="76"/>
      <c r="CA55" s="76"/>
      <c r="CB55" s="76"/>
      <c r="CC55" s="76"/>
      <c r="CD55" s="76"/>
      <c r="CE55" s="29"/>
      <c r="CF55" s="29"/>
      <c r="CG55" s="29"/>
      <c r="CH55" s="29">
        <f t="shared" si="13"/>
        <v>3100</v>
      </c>
      <c r="CI55" s="76"/>
    </row>
    <row r="56" spans="1:87" ht="63" customHeight="1" x14ac:dyDescent="0.8">
      <c r="A56" s="12" t="s">
        <v>108</v>
      </c>
      <c r="B56" s="13" t="s">
        <v>109</v>
      </c>
      <c r="C56" s="76"/>
      <c r="D56" s="76">
        <f>1557400+1590500</f>
        <v>3147900</v>
      </c>
      <c r="E56" s="76"/>
      <c r="F56" s="76"/>
      <c r="G56" s="76"/>
      <c r="H56" s="76"/>
      <c r="I56" s="76"/>
      <c r="J56" s="76"/>
      <c r="K56" s="29">
        <f t="shared" ref="K56:K64" si="18">L56</f>
        <v>0</v>
      </c>
      <c r="L56" s="76"/>
      <c r="M56" s="76"/>
      <c r="N56" s="76"/>
      <c r="O56" s="76"/>
      <c r="P56" s="76"/>
      <c r="Q56" s="76">
        <f>430939+20000</f>
        <v>450939</v>
      </c>
      <c r="R56" s="76"/>
      <c r="S56" s="76"/>
      <c r="T56" s="76"/>
      <c r="U56" s="76"/>
      <c r="V56" s="29"/>
      <c r="W56" s="29">
        <f t="shared" si="3"/>
        <v>136040</v>
      </c>
      <c r="X56" s="76"/>
      <c r="Y56" s="76"/>
      <c r="Z56" s="76">
        <f>139199-3159</f>
        <v>136040</v>
      </c>
      <c r="AA56" s="76"/>
      <c r="AB56" s="76"/>
      <c r="AC56" s="76"/>
      <c r="AD56" s="76"/>
      <c r="AE56" s="29">
        <f t="shared" si="4"/>
        <v>61222</v>
      </c>
      <c r="AF56" s="29">
        <v>61222</v>
      </c>
      <c r="AG56" s="29"/>
      <c r="AH56" s="29">
        <f t="shared" si="5"/>
        <v>520369</v>
      </c>
      <c r="AI56" s="76">
        <v>202338</v>
      </c>
      <c r="AJ56" s="76">
        <v>172827</v>
      </c>
      <c r="AK56" s="76">
        <v>125944</v>
      </c>
      <c r="AL56" s="76">
        <v>19260</v>
      </c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>
        <v>500000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29"/>
      <c r="BJ56" s="29"/>
      <c r="BK56" s="29"/>
      <c r="BL56" s="29"/>
      <c r="BM56" s="29">
        <f t="shared" si="12"/>
        <v>4816470</v>
      </c>
      <c r="BN56" s="29"/>
      <c r="BO56" s="29"/>
      <c r="BP56" s="29"/>
      <c r="BQ56" s="76"/>
      <c r="BR56" s="76"/>
      <c r="BS56" s="88">
        <f>30000000</f>
        <v>30000000</v>
      </c>
      <c r="BT56" s="76"/>
      <c r="BU56" s="76"/>
      <c r="BV56" s="76">
        <f>20000</f>
        <v>20000</v>
      </c>
      <c r="BW56" s="76"/>
      <c r="BX56" s="76"/>
      <c r="BY56" s="76"/>
      <c r="BZ56" s="76"/>
      <c r="CA56" s="76"/>
      <c r="CB56" s="76"/>
      <c r="CC56" s="76"/>
      <c r="CD56" s="76"/>
      <c r="CE56" s="29"/>
      <c r="CF56" s="29"/>
      <c r="CG56" s="29"/>
      <c r="CH56" s="29">
        <f t="shared" si="13"/>
        <v>30020000</v>
      </c>
      <c r="CI56" s="76"/>
    </row>
    <row r="57" spans="1:87" ht="59.25" customHeight="1" x14ac:dyDescent="0.8">
      <c r="A57" s="12" t="s">
        <v>110</v>
      </c>
      <c r="B57" s="13" t="s">
        <v>111</v>
      </c>
      <c r="C57" s="76"/>
      <c r="D57" s="76">
        <f>1062800+1085500</f>
        <v>2148300</v>
      </c>
      <c r="E57" s="76"/>
      <c r="F57" s="76"/>
      <c r="G57" s="76"/>
      <c r="H57" s="76"/>
      <c r="I57" s="76"/>
      <c r="J57" s="76"/>
      <c r="K57" s="29">
        <f t="shared" si="18"/>
        <v>0</v>
      </c>
      <c r="L57" s="76"/>
      <c r="M57" s="76"/>
      <c r="N57" s="76"/>
      <c r="O57" s="76"/>
      <c r="P57" s="76"/>
      <c r="Q57" s="76">
        <v>197814</v>
      </c>
      <c r="R57" s="76"/>
      <c r="S57" s="76"/>
      <c r="T57" s="76"/>
      <c r="U57" s="76"/>
      <c r="V57" s="29"/>
      <c r="W57" s="29">
        <f t="shared" si="3"/>
        <v>1070263.75</v>
      </c>
      <c r="X57" s="76">
        <f>267100</f>
        <v>267100</v>
      </c>
      <c r="Y57" s="76"/>
      <c r="Z57" s="76">
        <f>77333-1755</f>
        <v>75578</v>
      </c>
      <c r="AA57" s="76"/>
      <c r="AB57" s="76"/>
      <c r="AC57" s="76"/>
      <c r="AD57" s="76">
        <f>727585.75</f>
        <v>727585.75</v>
      </c>
      <c r="AE57" s="29">
        <f t="shared" si="4"/>
        <v>0</v>
      </c>
      <c r="AF57" s="29"/>
      <c r="AG57" s="29"/>
      <c r="AH57" s="29">
        <f t="shared" si="5"/>
        <v>287438</v>
      </c>
      <c r="AI57" s="76">
        <v>112410</v>
      </c>
      <c r="AJ57" s="76">
        <v>71928</v>
      </c>
      <c r="AK57" s="76">
        <v>89960</v>
      </c>
      <c r="AL57" s="76">
        <v>13140</v>
      </c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>
        <f>350000</f>
        <v>350000</v>
      </c>
      <c r="AY57" s="76">
        <v>300000</v>
      </c>
      <c r="AZ57" s="76"/>
      <c r="BA57" s="76"/>
      <c r="BB57" s="76"/>
      <c r="BC57" s="76"/>
      <c r="BD57" s="76"/>
      <c r="BE57" s="76"/>
      <c r="BF57" s="76"/>
      <c r="BG57" s="76"/>
      <c r="BH57" s="76"/>
      <c r="BI57" s="29"/>
      <c r="BJ57" s="29"/>
      <c r="BK57" s="29"/>
      <c r="BL57" s="29"/>
      <c r="BM57" s="29">
        <f t="shared" si="12"/>
        <v>4353815.75</v>
      </c>
      <c r="BN57" s="29"/>
      <c r="BO57" s="29"/>
      <c r="BP57" s="29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29"/>
      <c r="CF57" s="29"/>
      <c r="CG57" s="29"/>
      <c r="CH57" s="29">
        <f t="shared" si="13"/>
        <v>0</v>
      </c>
      <c r="CI57" s="76"/>
    </row>
    <row r="58" spans="1:87" ht="63" customHeight="1" x14ac:dyDescent="0.8">
      <c r="A58" s="12" t="s">
        <v>112</v>
      </c>
      <c r="B58" s="13" t="s">
        <v>113</v>
      </c>
      <c r="C58" s="76"/>
      <c r="D58" s="76">
        <f>377600+385700</f>
        <v>763300</v>
      </c>
      <c r="E58" s="76"/>
      <c r="F58" s="76"/>
      <c r="G58" s="76"/>
      <c r="H58" s="76"/>
      <c r="I58" s="76"/>
      <c r="J58" s="76"/>
      <c r="K58" s="29">
        <f t="shared" si="18"/>
        <v>0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9"/>
      <c r="W58" s="29">
        <f t="shared" si="3"/>
        <v>15116</v>
      </c>
      <c r="X58" s="76"/>
      <c r="Y58" s="76"/>
      <c r="Z58" s="76">
        <f>15467-351</f>
        <v>15116</v>
      </c>
      <c r="AA58" s="76"/>
      <c r="AB58" s="76"/>
      <c r="AC58" s="76"/>
      <c r="AD58" s="76"/>
      <c r="AE58" s="29">
        <f t="shared" si="4"/>
        <v>0</v>
      </c>
      <c r="AF58" s="29"/>
      <c r="AG58" s="29"/>
      <c r="AH58" s="29">
        <f t="shared" si="5"/>
        <v>62314</v>
      </c>
      <c r="AI58" s="76">
        <v>22482</v>
      </c>
      <c r="AJ58" s="76">
        <v>19980</v>
      </c>
      <c r="AK58" s="76">
        <v>17992</v>
      </c>
      <c r="AL58" s="76">
        <v>1860</v>
      </c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>
        <f>250000</f>
        <v>250000</v>
      </c>
      <c r="AY58" s="76">
        <v>17500</v>
      </c>
      <c r="AZ58" s="76"/>
      <c r="BA58" s="76"/>
      <c r="BB58" s="76"/>
      <c r="BC58" s="76"/>
      <c r="BD58" s="76"/>
      <c r="BE58" s="76"/>
      <c r="BF58" s="76"/>
      <c r="BG58" s="76"/>
      <c r="BH58" s="76"/>
      <c r="BI58" s="29"/>
      <c r="BJ58" s="29"/>
      <c r="BK58" s="29"/>
      <c r="BL58" s="29"/>
      <c r="BM58" s="29">
        <f t="shared" si="12"/>
        <v>1108230</v>
      </c>
      <c r="BN58" s="29"/>
      <c r="BO58" s="29"/>
      <c r="BP58" s="29"/>
      <c r="BQ58" s="76"/>
      <c r="BR58" s="76"/>
      <c r="BS58" s="76"/>
      <c r="BT58" s="76"/>
      <c r="BU58" s="76"/>
      <c r="BV58" s="76">
        <f>2200</f>
        <v>2200</v>
      </c>
      <c r="BW58" s="76"/>
      <c r="BX58" s="76"/>
      <c r="BY58" s="76"/>
      <c r="BZ58" s="76"/>
      <c r="CA58" s="76"/>
      <c r="CB58" s="76"/>
      <c r="CC58" s="76"/>
      <c r="CD58" s="76"/>
      <c r="CE58" s="29"/>
      <c r="CF58" s="29"/>
      <c r="CG58" s="29"/>
      <c r="CH58" s="29">
        <f t="shared" si="13"/>
        <v>2200</v>
      </c>
      <c r="CI58" s="76"/>
    </row>
    <row r="59" spans="1:87" ht="59.25" customHeight="1" x14ac:dyDescent="0.8">
      <c r="A59" s="12" t="s">
        <v>160</v>
      </c>
      <c r="B59" s="13" t="s">
        <v>161</v>
      </c>
      <c r="C59" s="76"/>
      <c r="D59" s="76">
        <f>422900+432000</f>
        <v>854900</v>
      </c>
      <c r="E59" s="76"/>
      <c r="F59" s="76"/>
      <c r="G59" s="76"/>
      <c r="H59" s="76"/>
      <c r="I59" s="76"/>
      <c r="J59" s="76"/>
      <c r="K59" s="29">
        <f t="shared" si="18"/>
        <v>0</v>
      </c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29"/>
      <c r="W59" s="29">
        <f t="shared" si="3"/>
        <v>30231</v>
      </c>
      <c r="X59" s="76"/>
      <c r="Y59" s="76"/>
      <c r="Z59" s="76">
        <f>30933-702</f>
        <v>30231</v>
      </c>
      <c r="AA59" s="76"/>
      <c r="AB59" s="76"/>
      <c r="AC59" s="76"/>
      <c r="AD59" s="76"/>
      <c r="AE59" s="29">
        <f t="shared" si="4"/>
        <v>0</v>
      </c>
      <c r="AF59" s="29"/>
      <c r="AG59" s="29"/>
      <c r="AH59" s="29">
        <f t="shared" si="5"/>
        <v>123629</v>
      </c>
      <c r="AI59" s="76">
        <v>44964</v>
      </c>
      <c r="AJ59" s="76">
        <v>38961</v>
      </c>
      <c r="AK59" s="76">
        <v>35984</v>
      </c>
      <c r="AL59" s="76">
        <v>3720</v>
      </c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>
        <v>17500</v>
      </c>
      <c r="AZ59" s="29"/>
      <c r="BA59" s="76"/>
      <c r="BB59" s="76"/>
      <c r="BC59" s="76"/>
      <c r="BD59" s="76"/>
      <c r="BE59" s="76"/>
      <c r="BF59" s="76"/>
      <c r="BG59" s="76"/>
      <c r="BH59" s="76"/>
      <c r="BI59" s="29"/>
      <c r="BJ59" s="29"/>
      <c r="BK59" s="29"/>
      <c r="BL59" s="29"/>
      <c r="BM59" s="29">
        <f t="shared" si="12"/>
        <v>1026260</v>
      </c>
      <c r="BN59" s="29"/>
      <c r="BO59" s="29"/>
      <c r="BP59" s="29"/>
      <c r="BQ59" s="76"/>
      <c r="BR59" s="76">
        <f>500000</f>
        <v>500000</v>
      </c>
      <c r="BS59" s="76"/>
      <c r="BT59" s="76"/>
      <c r="BU59" s="76"/>
      <c r="BV59" s="76">
        <v>3700</v>
      </c>
      <c r="BW59" s="76"/>
      <c r="BX59" s="76"/>
      <c r="BY59" s="76"/>
      <c r="BZ59" s="76"/>
      <c r="CA59" s="76"/>
      <c r="CB59" s="76"/>
      <c r="CC59" s="76"/>
      <c r="CD59" s="76"/>
      <c r="CE59" s="29"/>
      <c r="CF59" s="29"/>
      <c r="CG59" s="29"/>
      <c r="CH59" s="29">
        <f t="shared" si="13"/>
        <v>503700</v>
      </c>
      <c r="CI59" s="76"/>
    </row>
    <row r="60" spans="1:87" ht="59.25" customHeight="1" x14ac:dyDescent="0.8">
      <c r="A60" s="12" t="s">
        <v>114</v>
      </c>
      <c r="B60" s="13" t="s">
        <v>115</v>
      </c>
      <c r="C60" s="76"/>
      <c r="D60" s="76">
        <f>474900+485000</f>
        <v>959900</v>
      </c>
      <c r="E60" s="76"/>
      <c r="F60" s="76"/>
      <c r="G60" s="76"/>
      <c r="H60" s="76"/>
      <c r="I60" s="76"/>
      <c r="J60" s="76"/>
      <c r="K60" s="29">
        <f t="shared" si="18"/>
        <v>0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29"/>
      <c r="W60" s="29">
        <f t="shared" si="3"/>
        <v>45347</v>
      </c>
      <c r="X60" s="76"/>
      <c r="Y60" s="76"/>
      <c r="Z60" s="76">
        <f>46400-1053</f>
        <v>45347</v>
      </c>
      <c r="AA60" s="76"/>
      <c r="AB60" s="76"/>
      <c r="AC60" s="76"/>
      <c r="AD60" s="76"/>
      <c r="AE60" s="29">
        <f t="shared" si="4"/>
        <v>0</v>
      </c>
      <c r="AF60" s="29"/>
      <c r="AG60" s="29"/>
      <c r="AH60" s="29">
        <f t="shared" si="5"/>
        <v>154405</v>
      </c>
      <c r="AI60" s="76">
        <v>67446</v>
      </c>
      <c r="AJ60" s="76">
        <v>44955</v>
      </c>
      <c r="AK60" s="76">
        <v>35984</v>
      </c>
      <c r="AL60" s="76">
        <v>6020</v>
      </c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>
        <f>300000</f>
        <v>300000</v>
      </c>
      <c r="AY60" s="76">
        <v>15000</v>
      </c>
      <c r="AZ60" s="76"/>
      <c r="BA60" s="76"/>
      <c r="BB60" s="76"/>
      <c r="BC60" s="76"/>
      <c r="BD60" s="76"/>
      <c r="BE60" s="76"/>
      <c r="BF60" s="76"/>
      <c r="BG60" s="76"/>
      <c r="BH60" s="76"/>
      <c r="BI60" s="29"/>
      <c r="BJ60" s="29"/>
      <c r="BK60" s="29"/>
      <c r="BL60" s="29"/>
      <c r="BM60" s="29">
        <f t="shared" si="12"/>
        <v>1474652</v>
      </c>
      <c r="BN60" s="29"/>
      <c r="BO60" s="29"/>
      <c r="BP60" s="29"/>
      <c r="BQ60" s="76"/>
      <c r="BR60" s="76"/>
      <c r="BS60" s="76"/>
      <c r="BT60" s="76"/>
      <c r="BU60" s="76"/>
      <c r="BV60" s="76">
        <v>5000</v>
      </c>
      <c r="BW60" s="76"/>
      <c r="BX60" s="76"/>
      <c r="BY60" s="76"/>
      <c r="BZ60" s="76"/>
      <c r="CA60" s="76"/>
      <c r="CB60" s="76"/>
      <c r="CC60" s="76"/>
      <c r="CD60" s="76"/>
      <c r="CE60" s="29"/>
      <c r="CF60" s="29"/>
      <c r="CG60" s="29"/>
      <c r="CH60" s="29">
        <f t="shared" si="13"/>
        <v>5000</v>
      </c>
      <c r="CI60" s="76"/>
    </row>
    <row r="61" spans="1:87" ht="66.75" customHeight="1" x14ac:dyDescent="0.8">
      <c r="A61" s="12" t="s">
        <v>116</v>
      </c>
      <c r="B61" s="13" t="s">
        <v>117</v>
      </c>
      <c r="C61" s="76"/>
      <c r="D61" s="76">
        <f>325400+332400</f>
        <v>657800</v>
      </c>
      <c r="E61" s="76"/>
      <c r="F61" s="76"/>
      <c r="G61" s="76"/>
      <c r="H61" s="76"/>
      <c r="I61" s="76"/>
      <c r="J61" s="76"/>
      <c r="K61" s="29">
        <f t="shared" si="18"/>
        <v>0</v>
      </c>
      <c r="L61" s="76"/>
      <c r="M61" s="76"/>
      <c r="N61" s="76"/>
      <c r="O61" s="76"/>
      <c r="P61" s="76"/>
      <c r="Q61" s="76">
        <v>211646</v>
      </c>
      <c r="R61" s="76"/>
      <c r="S61" s="76"/>
      <c r="T61" s="76"/>
      <c r="U61" s="76"/>
      <c r="V61" s="29"/>
      <c r="W61" s="29">
        <f t="shared" si="3"/>
        <v>75578</v>
      </c>
      <c r="X61" s="76"/>
      <c r="Y61" s="76"/>
      <c r="Z61" s="76">
        <f>77333-1755</f>
        <v>75578</v>
      </c>
      <c r="AA61" s="76"/>
      <c r="AB61" s="76"/>
      <c r="AC61" s="76"/>
      <c r="AD61" s="76"/>
      <c r="AE61" s="29">
        <f t="shared" si="4"/>
        <v>0</v>
      </c>
      <c r="AF61" s="29"/>
      <c r="AG61" s="29"/>
      <c r="AH61" s="29">
        <f t="shared" si="5"/>
        <v>268141</v>
      </c>
      <c r="AI61" s="76">
        <v>112410</v>
      </c>
      <c r="AJ61" s="76">
        <v>76923</v>
      </c>
      <c r="AK61" s="76">
        <v>71968</v>
      </c>
      <c r="AL61" s="76">
        <v>6840</v>
      </c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>
        <v>280000</v>
      </c>
      <c r="AZ61" s="76"/>
      <c r="BA61" s="76"/>
      <c r="BB61" s="76"/>
      <c r="BC61" s="76"/>
      <c r="BD61" s="76"/>
      <c r="BE61" s="76"/>
      <c r="BF61" s="76"/>
      <c r="BG61" s="76">
        <f>1000000</f>
        <v>1000000</v>
      </c>
      <c r="BH61" s="76"/>
      <c r="BI61" s="29"/>
      <c r="BJ61" s="29"/>
      <c r="BK61" s="29"/>
      <c r="BL61" s="29"/>
      <c r="BM61" s="29">
        <f t="shared" si="12"/>
        <v>2493165</v>
      </c>
      <c r="BN61" s="29"/>
      <c r="BO61" s="29"/>
      <c r="BP61" s="29"/>
      <c r="BQ61" s="76"/>
      <c r="BR61" s="76"/>
      <c r="BS61" s="76"/>
      <c r="BT61" s="76">
        <v>16500000</v>
      </c>
      <c r="BU61" s="76"/>
      <c r="BV61" s="76">
        <v>11200</v>
      </c>
      <c r="BW61" s="76"/>
      <c r="BX61" s="76"/>
      <c r="BY61" s="76"/>
      <c r="BZ61" s="76"/>
      <c r="CA61" s="76"/>
      <c r="CB61" s="76"/>
      <c r="CC61" s="76"/>
      <c r="CD61" s="76"/>
      <c r="CE61" s="29"/>
      <c r="CF61" s="29"/>
      <c r="CG61" s="29"/>
      <c r="CH61" s="29">
        <f t="shared" si="13"/>
        <v>16511200</v>
      </c>
      <c r="CI61" s="76"/>
    </row>
    <row r="62" spans="1:87" ht="63" customHeight="1" x14ac:dyDescent="0.8">
      <c r="A62" s="12" t="s">
        <v>118</v>
      </c>
      <c r="B62" s="13" t="s">
        <v>119</v>
      </c>
      <c r="C62" s="76"/>
      <c r="D62" s="76">
        <f>678100+692600</f>
        <v>1370700</v>
      </c>
      <c r="E62" s="76"/>
      <c r="F62" s="76"/>
      <c r="G62" s="76"/>
      <c r="H62" s="76"/>
      <c r="I62" s="76"/>
      <c r="J62" s="76"/>
      <c r="K62" s="29">
        <f t="shared" si="18"/>
        <v>0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29"/>
      <c r="W62" s="29">
        <f t="shared" si="3"/>
        <v>45347</v>
      </c>
      <c r="X62" s="76"/>
      <c r="Y62" s="76"/>
      <c r="Z62" s="76">
        <f>46400-1053</f>
        <v>45347</v>
      </c>
      <c r="AA62" s="76"/>
      <c r="AB62" s="76"/>
      <c r="AC62" s="76"/>
      <c r="AD62" s="76"/>
      <c r="AE62" s="29">
        <f t="shared" si="4"/>
        <v>0</v>
      </c>
      <c r="AF62" s="29"/>
      <c r="AG62" s="29"/>
      <c r="AH62" s="29">
        <f t="shared" si="5"/>
        <v>155133</v>
      </c>
      <c r="AI62" s="76">
        <v>67446</v>
      </c>
      <c r="AJ62" s="76">
        <v>28971</v>
      </c>
      <c r="AK62" s="76">
        <v>53976</v>
      </c>
      <c r="AL62" s="76">
        <v>4740</v>
      </c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>
        <f>450000</f>
        <v>450000</v>
      </c>
      <c r="AY62" s="76">
        <v>30000</v>
      </c>
      <c r="AZ62" s="76"/>
      <c r="BA62" s="76"/>
      <c r="BB62" s="76"/>
      <c r="BC62" s="76"/>
      <c r="BD62" s="76"/>
      <c r="BE62" s="76"/>
      <c r="BF62" s="76"/>
      <c r="BG62" s="76"/>
      <c r="BH62" s="76"/>
      <c r="BI62" s="29"/>
      <c r="BJ62" s="29"/>
      <c r="BK62" s="29"/>
      <c r="BL62" s="29"/>
      <c r="BM62" s="29">
        <f t="shared" si="12"/>
        <v>2051180</v>
      </c>
      <c r="BN62" s="29"/>
      <c r="BO62" s="29"/>
      <c r="BP62" s="29"/>
      <c r="BQ62" s="76"/>
      <c r="BR62" s="76"/>
      <c r="BS62" s="76"/>
      <c r="BT62" s="76"/>
      <c r="BU62" s="76"/>
      <c r="BV62" s="76">
        <v>4300</v>
      </c>
      <c r="BW62" s="76"/>
      <c r="BX62" s="76"/>
      <c r="BY62" s="76"/>
      <c r="BZ62" s="76"/>
      <c r="CA62" s="76"/>
      <c r="CB62" s="76"/>
      <c r="CC62" s="76"/>
      <c r="CD62" s="76"/>
      <c r="CE62" s="29"/>
      <c r="CF62" s="29"/>
      <c r="CG62" s="29"/>
      <c r="CH62" s="29">
        <f t="shared" si="13"/>
        <v>4300</v>
      </c>
      <c r="CI62" s="76"/>
    </row>
    <row r="63" spans="1:87" ht="63" customHeight="1" x14ac:dyDescent="0.8">
      <c r="A63" s="12" t="s">
        <v>120</v>
      </c>
      <c r="B63" s="13" t="s">
        <v>121</v>
      </c>
      <c r="C63" s="76"/>
      <c r="D63" s="76">
        <f>1906600+1947400</f>
        <v>3854000</v>
      </c>
      <c r="E63" s="76"/>
      <c r="F63" s="76"/>
      <c r="G63" s="76"/>
      <c r="H63" s="76"/>
      <c r="I63" s="76">
        <v>194000</v>
      </c>
      <c r="J63" s="76"/>
      <c r="K63" s="29">
        <f t="shared" si="18"/>
        <v>0</v>
      </c>
      <c r="L63" s="76"/>
      <c r="M63" s="76"/>
      <c r="N63" s="76"/>
      <c r="O63" s="76"/>
      <c r="P63" s="76"/>
      <c r="Q63" s="76">
        <f>313457</f>
        <v>313457</v>
      </c>
      <c r="R63" s="76"/>
      <c r="S63" s="76"/>
      <c r="T63" s="76"/>
      <c r="U63" s="76"/>
      <c r="V63" s="29"/>
      <c r="W63" s="29">
        <f t="shared" si="3"/>
        <v>551155</v>
      </c>
      <c r="X63" s="76"/>
      <c r="Y63" s="76"/>
      <c r="Z63" s="76">
        <f>154665-3510</f>
        <v>151155</v>
      </c>
      <c r="AA63" s="76">
        <f>400000</f>
        <v>400000</v>
      </c>
      <c r="AB63" s="76"/>
      <c r="AC63" s="76"/>
      <c r="AD63" s="76"/>
      <c r="AE63" s="29">
        <f t="shared" si="4"/>
        <v>61222</v>
      </c>
      <c r="AF63" s="29">
        <v>61222</v>
      </c>
      <c r="AG63" s="29"/>
      <c r="AH63" s="29">
        <f t="shared" si="5"/>
        <v>488314</v>
      </c>
      <c r="AI63" s="76">
        <v>224820</v>
      </c>
      <c r="AJ63" s="76">
        <v>165834</v>
      </c>
      <c r="AK63" s="76">
        <v>89960</v>
      </c>
      <c r="AL63" s="76">
        <v>7700</v>
      </c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>
        <f>350000+30000</f>
        <v>380000</v>
      </c>
      <c r="AZ63" s="76"/>
      <c r="BA63" s="76"/>
      <c r="BB63" s="76"/>
      <c r="BC63" s="76"/>
      <c r="BD63" s="76"/>
      <c r="BE63" s="76"/>
      <c r="BF63" s="76"/>
      <c r="BG63" s="76"/>
      <c r="BH63" s="76"/>
      <c r="BI63" s="29"/>
      <c r="BJ63" s="29"/>
      <c r="BK63" s="29"/>
      <c r="BL63" s="29"/>
      <c r="BM63" s="29">
        <f t="shared" si="12"/>
        <v>5842148</v>
      </c>
      <c r="BN63" s="29"/>
      <c r="BO63" s="29"/>
      <c r="BP63" s="29"/>
      <c r="BQ63" s="76"/>
      <c r="BR63" s="76"/>
      <c r="BS63" s="76"/>
      <c r="BT63" s="76"/>
      <c r="BU63" s="76"/>
      <c r="BV63" s="76">
        <v>14100</v>
      </c>
      <c r="BW63" s="76"/>
      <c r="BX63" s="76"/>
      <c r="BY63" s="76"/>
      <c r="BZ63" s="76"/>
      <c r="CA63" s="76"/>
      <c r="CB63" s="76"/>
      <c r="CC63" s="76"/>
      <c r="CD63" s="76"/>
      <c r="CE63" s="29"/>
      <c r="CF63" s="29"/>
      <c r="CG63" s="29"/>
      <c r="CH63" s="29">
        <f t="shared" si="13"/>
        <v>14100</v>
      </c>
      <c r="CI63" s="76"/>
    </row>
    <row r="64" spans="1:87" ht="55.5" customHeight="1" x14ac:dyDescent="0.8">
      <c r="A64" s="12" t="s">
        <v>122</v>
      </c>
      <c r="B64" s="13" t="s">
        <v>123</v>
      </c>
      <c r="C64" s="76"/>
      <c r="D64" s="76">
        <f>350000+357500</f>
        <v>707500</v>
      </c>
      <c r="E64" s="76"/>
      <c r="F64" s="76"/>
      <c r="G64" s="76"/>
      <c r="H64" s="76"/>
      <c r="I64" s="76"/>
      <c r="J64" s="76"/>
      <c r="K64" s="29">
        <f t="shared" si="18"/>
        <v>0</v>
      </c>
      <c r="L64" s="76"/>
      <c r="M64" s="76"/>
      <c r="N64" s="76"/>
      <c r="O64" s="76"/>
      <c r="P64" s="76"/>
      <c r="Q64" s="76">
        <v>254324</v>
      </c>
      <c r="R64" s="76"/>
      <c r="S64" s="76"/>
      <c r="T64" s="76"/>
      <c r="U64" s="76"/>
      <c r="V64" s="29"/>
      <c r="W64" s="29">
        <f t="shared" si="3"/>
        <v>3590388</v>
      </c>
      <c r="X64" s="76">
        <v>3545041</v>
      </c>
      <c r="Y64" s="76"/>
      <c r="Z64" s="76">
        <f>46400-1053</f>
        <v>45347</v>
      </c>
      <c r="AA64" s="76"/>
      <c r="AB64" s="76"/>
      <c r="AC64" s="76"/>
      <c r="AD64" s="76"/>
      <c r="AE64" s="29">
        <f t="shared" si="4"/>
        <v>0</v>
      </c>
      <c r="AF64" s="29"/>
      <c r="AG64" s="29"/>
      <c r="AH64" s="29">
        <f t="shared" si="5"/>
        <v>160297</v>
      </c>
      <c r="AI64" s="76">
        <v>67446</v>
      </c>
      <c r="AJ64" s="76">
        <v>52947</v>
      </c>
      <c r="AK64" s="76">
        <v>35984</v>
      </c>
      <c r="AL64" s="76">
        <v>3920</v>
      </c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>
        <f>300000</f>
        <v>300000</v>
      </c>
      <c r="AY64" s="76">
        <v>250000</v>
      </c>
      <c r="AZ64" s="76"/>
      <c r="BA64" s="76"/>
      <c r="BB64" s="76"/>
      <c r="BC64" s="76"/>
      <c r="BD64" s="76"/>
      <c r="BE64" s="76"/>
      <c r="BF64" s="76"/>
      <c r="BG64" s="76"/>
      <c r="BH64" s="76"/>
      <c r="BI64" s="29"/>
      <c r="BJ64" s="29"/>
      <c r="BK64" s="29"/>
      <c r="BL64" s="29"/>
      <c r="BM64" s="29">
        <f t="shared" si="12"/>
        <v>5262509</v>
      </c>
      <c r="BN64" s="29"/>
      <c r="BO64" s="29"/>
      <c r="BP64" s="29"/>
      <c r="BQ64" s="76"/>
      <c r="BR64" s="76"/>
      <c r="BS64" s="76"/>
      <c r="BT64" s="76"/>
      <c r="BU64" s="76"/>
      <c r="BV64" s="76">
        <v>12000</v>
      </c>
      <c r="BW64" s="76"/>
      <c r="BX64" s="76"/>
      <c r="BY64" s="76"/>
      <c r="BZ64" s="76"/>
      <c r="CA64" s="76"/>
      <c r="CB64" s="76"/>
      <c r="CC64" s="76"/>
      <c r="CD64" s="76"/>
      <c r="CE64" s="29"/>
      <c r="CF64" s="29"/>
      <c r="CG64" s="29"/>
      <c r="CH64" s="29">
        <f t="shared" si="13"/>
        <v>12000</v>
      </c>
      <c r="CI64" s="76"/>
    </row>
    <row r="65" spans="1:87" ht="59.25" customHeight="1" x14ac:dyDescent="0.8">
      <c r="A65" s="12" t="s">
        <v>124</v>
      </c>
      <c r="B65" s="13" t="s">
        <v>191</v>
      </c>
      <c r="C65" s="76"/>
      <c r="D65" s="76">
        <v>853000</v>
      </c>
      <c r="E65" s="76"/>
      <c r="F65" s="76"/>
      <c r="G65" s="76"/>
      <c r="H65" s="76"/>
      <c r="I65" s="76"/>
      <c r="J65" s="76"/>
      <c r="K65" s="29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29"/>
      <c r="W65" s="29">
        <f t="shared" si="3"/>
        <v>105809</v>
      </c>
      <c r="X65" s="76"/>
      <c r="Y65" s="76"/>
      <c r="Z65" s="76">
        <f>108266-2457</f>
        <v>105809</v>
      </c>
      <c r="AA65" s="76"/>
      <c r="AB65" s="76"/>
      <c r="AC65" s="76"/>
      <c r="AD65" s="76"/>
      <c r="AE65" s="29">
        <f t="shared" si="4"/>
        <v>0</v>
      </c>
      <c r="AF65" s="29"/>
      <c r="AG65" s="29"/>
      <c r="AH65" s="29">
        <f t="shared" si="5"/>
        <v>436513</v>
      </c>
      <c r="AI65" s="76">
        <v>157374</v>
      </c>
      <c r="AJ65" s="76">
        <v>216783</v>
      </c>
      <c r="AK65" s="76">
        <v>53976</v>
      </c>
      <c r="AL65" s="76">
        <v>8380</v>
      </c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>
        <v>50000</v>
      </c>
      <c r="BA65" s="76"/>
      <c r="BB65" s="76"/>
      <c r="BC65" s="76"/>
      <c r="BD65" s="76"/>
      <c r="BE65" s="76"/>
      <c r="BF65" s="76"/>
      <c r="BG65" s="76"/>
      <c r="BH65" s="76"/>
      <c r="BI65" s="29"/>
      <c r="BJ65" s="29"/>
      <c r="BK65" s="29"/>
      <c r="BL65" s="29"/>
      <c r="BM65" s="29">
        <f t="shared" si="12"/>
        <v>1445322</v>
      </c>
      <c r="BN65" s="29"/>
      <c r="BO65" s="29"/>
      <c r="BP65" s="29"/>
      <c r="BQ65" s="76"/>
      <c r="BR65" s="76"/>
      <c r="BS65" s="76"/>
      <c r="BT65" s="88">
        <f>15000000+10000000+33000000</f>
        <v>58000000</v>
      </c>
      <c r="BU65" s="76"/>
      <c r="BV65" s="76">
        <v>14400</v>
      </c>
      <c r="BW65" s="76"/>
      <c r="BX65" s="76"/>
      <c r="BY65" s="76"/>
      <c r="BZ65" s="76"/>
      <c r="CA65" s="76"/>
      <c r="CB65" s="76"/>
      <c r="CC65" s="76"/>
      <c r="CD65" s="76"/>
      <c r="CE65" s="29"/>
      <c r="CF65" s="29"/>
      <c r="CG65" s="29"/>
      <c r="CH65" s="29">
        <f t="shared" si="13"/>
        <v>58014400</v>
      </c>
      <c r="CI65" s="76"/>
    </row>
    <row r="66" spans="1:87" ht="59.25" customHeight="1" x14ac:dyDescent="0.8">
      <c r="A66" s="12" t="s">
        <v>221</v>
      </c>
      <c r="B66" s="13" t="s">
        <v>222</v>
      </c>
      <c r="C66" s="76"/>
      <c r="D66" s="76">
        <f>356000+363600</f>
        <v>719600</v>
      </c>
      <c r="E66" s="76"/>
      <c r="F66" s="76"/>
      <c r="G66" s="76"/>
      <c r="H66" s="76"/>
      <c r="I66" s="76"/>
      <c r="J66" s="76"/>
      <c r="K66" s="29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29"/>
      <c r="W66" s="29">
        <f t="shared" si="3"/>
        <v>30231</v>
      </c>
      <c r="X66" s="76"/>
      <c r="Y66" s="76"/>
      <c r="Z66" s="76">
        <f>30933-702</f>
        <v>30231</v>
      </c>
      <c r="AA66" s="76"/>
      <c r="AB66" s="76"/>
      <c r="AC66" s="76"/>
      <c r="AD66" s="76"/>
      <c r="AE66" s="29">
        <f t="shared" si="4"/>
        <v>0</v>
      </c>
      <c r="AF66" s="29"/>
      <c r="AG66" s="29"/>
      <c r="AH66" s="29">
        <f t="shared" si="5"/>
        <v>117395</v>
      </c>
      <c r="AI66" s="76">
        <v>44964</v>
      </c>
      <c r="AJ66" s="76">
        <v>32967</v>
      </c>
      <c r="AK66" s="76">
        <v>35984</v>
      </c>
      <c r="AL66" s="76">
        <v>3480</v>
      </c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>
        <f>800000</f>
        <v>800000</v>
      </c>
      <c r="AY66" s="76">
        <v>70000</v>
      </c>
      <c r="AZ66" s="76"/>
      <c r="BA66" s="76"/>
      <c r="BB66" s="76"/>
      <c r="BC66" s="76"/>
      <c r="BD66" s="76"/>
      <c r="BE66" s="76"/>
      <c r="BF66" s="76"/>
      <c r="BG66" s="76"/>
      <c r="BH66" s="76"/>
      <c r="BI66" s="29"/>
      <c r="BJ66" s="29"/>
      <c r="BK66" s="29"/>
      <c r="BL66" s="29"/>
      <c r="BM66" s="29">
        <f t="shared" si="12"/>
        <v>1737226</v>
      </c>
      <c r="BN66" s="29"/>
      <c r="BO66" s="29"/>
      <c r="BP66" s="29"/>
      <c r="BQ66" s="76"/>
      <c r="BR66" s="76"/>
      <c r="BS66" s="76"/>
      <c r="BT66" s="76"/>
      <c r="BU66" s="76"/>
      <c r="BV66" s="76">
        <v>3468</v>
      </c>
      <c r="BW66" s="76"/>
      <c r="BX66" s="76"/>
      <c r="BY66" s="76"/>
      <c r="BZ66" s="76"/>
      <c r="CA66" s="76"/>
      <c r="CB66" s="76"/>
      <c r="CC66" s="76"/>
      <c r="CD66" s="76"/>
      <c r="CE66" s="29"/>
      <c r="CF66" s="29"/>
      <c r="CG66" s="29"/>
      <c r="CH66" s="29">
        <f t="shared" si="13"/>
        <v>3468</v>
      </c>
      <c r="CI66" s="76"/>
    </row>
    <row r="67" spans="1:87" ht="66.75" customHeight="1" x14ac:dyDescent="0.8">
      <c r="A67" s="12" t="s">
        <v>125</v>
      </c>
      <c r="B67" s="13" t="s">
        <v>126</v>
      </c>
      <c r="C67" s="76"/>
      <c r="D67" s="76">
        <v>447600</v>
      </c>
      <c r="E67" s="76"/>
      <c r="F67" s="76"/>
      <c r="G67" s="76"/>
      <c r="H67" s="76"/>
      <c r="I67" s="76">
        <v>210000</v>
      </c>
      <c r="J67" s="76"/>
      <c r="K67" s="29">
        <f>L67</f>
        <v>0</v>
      </c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29"/>
      <c r="W67" s="29">
        <f t="shared" si="3"/>
        <v>45347</v>
      </c>
      <c r="X67" s="76"/>
      <c r="Y67" s="76"/>
      <c r="Z67" s="76">
        <f>46400-1053</f>
        <v>45347</v>
      </c>
      <c r="AA67" s="76"/>
      <c r="AB67" s="76"/>
      <c r="AC67" s="76"/>
      <c r="AD67" s="76"/>
      <c r="AE67" s="29">
        <f t="shared" si="4"/>
        <v>61222</v>
      </c>
      <c r="AF67" s="29">
        <v>61222</v>
      </c>
      <c r="AG67" s="29"/>
      <c r="AH67" s="29">
        <f t="shared" si="5"/>
        <v>157459</v>
      </c>
      <c r="AI67" s="76">
        <v>67446</v>
      </c>
      <c r="AJ67" s="76">
        <v>50949</v>
      </c>
      <c r="AK67" s="76">
        <v>35984</v>
      </c>
      <c r="AL67" s="76">
        <v>3080</v>
      </c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>
        <v>50000</v>
      </c>
      <c r="AZ67" s="76"/>
      <c r="BA67" s="76"/>
      <c r="BB67" s="76"/>
      <c r="BC67" s="76"/>
      <c r="BD67" s="76"/>
      <c r="BE67" s="76"/>
      <c r="BF67" s="76"/>
      <c r="BG67" s="76"/>
      <c r="BH67" s="76"/>
      <c r="BI67" s="29"/>
      <c r="BJ67" s="29"/>
      <c r="BK67" s="29"/>
      <c r="BL67" s="29"/>
      <c r="BM67" s="29">
        <f t="shared" si="12"/>
        <v>971628</v>
      </c>
      <c r="BN67" s="29"/>
      <c r="BO67" s="29"/>
      <c r="BP67" s="29"/>
      <c r="BQ67" s="76"/>
      <c r="BR67" s="76"/>
      <c r="BS67" s="76"/>
      <c r="BT67" s="76"/>
      <c r="BU67" s="76"/>
      <c r="BV67" s="76">
        <v>5100</v>
      </c>
      <c r="BW67" s="76"/>
      <c r="BX67" s="76"/>
      <c r="BY67" s="76"/>
      <c r="BZ67" s="76"/>
      <c r="CA67" s="76"/>
      <c r="CB67" s="76"/>
      <c r="CC67" s="76"/>
      <c r="CD67" s="76"/>
      <c r="CE67" s="29"/>
      <c r="CF67" s="29"/>
      <c r="CG67" s="29"/>
      <c r="CH67" s="29">
        <f t="shared" si="13"/>
        <v>5100</v>
      </c>
      <c r="CI67" s="76"/>
    </row>
    <row r="68" spans="1:87" ht="63" customHeight="1" x14ac:dyDescent="0.8">
      <c r="A68" s="12" t="s">
        <v>127</v>
      </c>
      <c r="B68" s="13" t="s">
        <v>128</v>
      </c>
      <c r="C68" s="76"/>
      <c r="D68" s="76">
        <f>896000+915100</f>
        <v>1811100</v>
      </c>
      <c r="E68" s="76"/>
      <c r="F68" s="76"/>
      <c r="G68" s="76"/>
      <c r="H68" s="76"/>
      <c r="I68" s="76"/>
      <c r="J68" s="76"/>
      <c r="K68" s="29">
        <f>L68</f>
        <v>0</v>
      </c>
      <c r="L68" s="76"/>
      <c r="M68" s="76"/>
      <c r="N68" s="76"/>
      <c r="O68" s="76"/>
      <c r="P68" s="76"/>
      <c r="Q68" s="76">
        <v>109534</v>
      </c>
      <c r="R68" s="76"/>
      <c r="S68" s="76"/>
      <c r="T68" s="76"/>
      <c r="U68" s="76"/>
      <c r="V68" s="29"/>
      <c r="W68" s="29">
        <f t="shared" si="3"/>
        <v>60462</v>
      </c>
      <c r="X68" s="76"/>
      <c r="Y68" s="76"/>
      <c r="Z68" s="76">
        <f>61866-1404</f>
        <v>60462</v>
      </c>
      <c r="AA68" s="76"/>
      <c r="AB68" s="76"/>
      <c r="AC68" s="76"/>
      <c r="AD68" s="76"/>
      <c r="AE68" s="29">
        <f t="shared" si="4"/>
        <v>0</v>
      </c>
      <c r="AF68" s="29"/>
      <c r="AG68" s="29"/>
      <c r="AH68" s="29">
        <f t="shared" si="5"/>
        <v>182563</v>
      </c>
      <c r="AI68" s="76">
        <v>89928</v>
      </c>
      <c r="AJ68" s="76">
        <v>48951</v>
      </c>
      <c r="AK68" s="76">
        <v>35984</v>
      </c>
      <c r="AL68" s="76">
        <v>7700</v>
      </c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>
        <v>50000</v>
      </c>
      <c r="AZ68" s="76"/>
      <c r="BA68" s="76"/>
      <c r="BB68" s="76"/>
      <c r="BC68" s="76"/>
      <c r="BD68" s="76"/>
      <c r="BE68" s="76"/>
      <c r="BF68" s="76"/>
      <c r="BG68" s="76"/>
      <c r="BH68" s="76"/>
      <c r="BI68" s="29"/>
      <c r="BJ68" s="29"/>
      <c r="BK68" s="29"/>
      <c r="BL68" s="29"/>
      <c r="BM68" s="29">
        <f t="shared" si="12"/>
        <v>2213659</v>
      </c>
      <c r="BN68" s="29"/>
      <c r="BO68" s="29"/>
      <c r="BP68" s="29"/>
      <c r="BQ68" s="76"/>
      <c r="BR68" s="76">
        <v>350000</v>
      </c>
      <c r="BS68" s="76"/>
      <c r="BT68" s="76"/>
      <c r="BU68" s="76"/>
      <c r="BV68" s="76">
        <f>7000-1200</f>
        <v>5800</v>
      </c>
      <c r="BW68" s="76"/>
      <c r="BX68" s="76"/>
      <c r="BY68" s="76"/>
      <c r="BZ68" s="76"/>
      <c r="CA68" s="76"/>
      <c r="CB68" s="76"/>
      <c r="CC68" s="76"/>
      <c r="CD68" s="76"/>
      <c r="CE68" s="29"/>
      <c r="CF68" s="29"/>
      <c r="CG68" s="29"/>
      <c r="CH68" s="29">
        <f t="shared" si="13"/>
        <v>355800</v>
      </c>
      <c r="CI68" s="76"/>
    </row>
    <row r="69" spans="1:87" ht="63" customHeight="1" x14ac:dyDescent="0.8">
      <c r="A69" s="12" t="s">
        <v>129</v>
      </c>
      <c r="B69" s="13" t="s">
        <v>130</v>
      </c>
      <c r="C69" s="76"/>
      <c r="D69" s="76">
        <f>1692700+1728800</f>
        <v>3421500</v>
      </c>
      <c r="E69" s="76"/>
      <c r="F69" s="76"/>
      <c r="G69" s="76"/>
      <c r="H69" s="76"/>
      <c r="I69" s="76"/>
      <c r="J69" s="76"/>
      <c r="K69" s="29">
        <f>L69</f>
        <v>0</v>
      </c>
      <c r="L69" s="76"/>
      <c r="M69" s="76"/>
      <c r="N69" s="76"/>
      <c r="O69" s="76">
        <v>734624</v>
      </c>
      <c r="P69" s="76">
        <f>110777</f>
        <v>110777</v>
      </c>
      <c r="Q69" s="76"/>
      <c r="R69" s="76"/>
      <c r="S69" s="76"/>
      <c r="T69" s="76"/>
      <c r="U69" s="76"/>
      <c r="V69" s="29"/>
      <c r="W69" s="29">
        <f t="shared" si="3"/>
        <v>1490655</v>
      </c>
      <c r="X69" s="76"/>
      <c r="Y69" s="76">
        <f>1339500</f>
        <v>1339500</v>
      </c>
      <c r="Z69" s="76">
        <f>154665-3510</f>
        <v>151155</v>
      </c>
      <c r="AA69" s="76"/>
      <c r="AB69" s="76"/>
      <c r="AC69" s="76"/>
      <c r="AD69" s="76"/>
      <c r="AE69" s="29">
        <f t="shared" si="4"/>
        <v>183666</v>
      </c>
      <c r="AF69" s="29">
        <v>183666</v>
      </c>
      <c r="AG69" s="29"/>
      <c r="AH69" s="29">
        <f t="shared" si="5"/>
        <v>563425</v>
      </c>
      <c r="AI69" s="76">
        <v>224820</v>
      </c>
      <c r="AJ69" s="76">
        <v>198801</v>
      </c>
      <c r="AK69" s="76">
        <v>125944</v>
      </c>
      <c r="AL69" s="76">
        <v>13860</v>
      </c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>
        <v>50000</v>
      </c>
      <c r="AZ69" s="76"/>
      <c r="BA69" s="76"/>
      <c r="BB69" s="76"/>
      <c r="BC69" s="76"/>
      <c r="BD69" s="76"/>
      <c r="BE69" s="76"/>
      <c r="BF69" s="76"/>
      <c r="BG69" s="76"/>
      <c r="BH69" s="76"/>
      <c r="BI69" s="29"/>
      <c r="BJ69" s="29"/>
      <c r="BK69" s="29"/>
      <c r="BL69" s="29">
        <v>250000</v>
      </c>
      <c r="BM69" s="29">
        <f t="shared" si="12"/>
        <v>6804647</v>
      </c>
      <c r="BN69" s="29"/>
      <c r="BO69" s="29"/>
      <c r="BP69" s="29"/>
      <c r="BQ69" s="76"/>
      <c r="BR69" s="76"/>
      <c r="BS69" s="76"/>
      <c r="BT69" s="76">
        <v>2000000</v>
      </c>
      <c r="BU69" s="76"/>
      <c r="BV69" s="76">
        <v>16700</v>
      </c>
      <c r="BW69" s="76"/>
      <c r="BX69" s="76"/>
      <c r="BY69" s="76"/>
      <c r="BZ69" s="76"/>
      <c r="CA69" s="76"/>
      <c r="CB69" s="76"/>
      <c r="CC69" s="76"/>
      <c r="CD69" s="76"/>
      <c r="CE69" s="29"/>
      <c r="CF69" s="29"/>
      <c r="CG69" s="29"/>
      <c r="CH69" s="29">
        <f t="shared" si="13"/>
        <v>2016700</v>
      </c>
      <c r="CI69" s="76"/>
    </row>
    <row r="70" spans="1:87" ht="63" customHeight="1" x14ac:dyDescent="0.8">
      <c r="A70" s="12" t="s">
        <v>194</v>
      </c>
      <c r="B70" s="13" t="s">
        <v>195</v>
      </c>
      <c r="C70" s="76"/>
      <c r="D70" s="76">
        <f>421200+430200</f>
        <v>851400</v>
      </c>
      <c r="E70" s="76"/>
      <c r="F70" s="76"/>
      <c r="G70" s="76"/>
      <c r="H70" s="76"/>
      <c r="I70" s="76"/>
      <c r="J70" s="76"/>
      <c r="K70" s="29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29"/>
      <c r="W70" s="29">
        <f t="shared" si="3"/>
        <v>30231</v>
      </c>
      <c r="X70" s="76"/>
      <c r="Y70" s="76"/>
      <c r="Z70" s="76">
        <f>30933-702</f>
        <v>30231</v>
      </c>
      <c r="AA70" s="76"/>
      <c r="AB70" s="76"/>
      <c r="AC70" s="76"/>
      <c r="AD70" s="76"/>
      <c r="AE70" s="29">
        <f t="shared" si="4"/>
        <v>0</v>
      </c>
      <c r="AF70" s="29"/>
      <c r="AG70" s="29"/>
      <c r="AH70" s="29">
        <f t="shared" si="5"/>
        <v>123530</v>
      </c>
      <c r="AI70" s="76">
        <v>44964</v>
      </c>
      <c r="AJ70" s="76">
        <v>37962</v>
      </c>
      <c r="AK70" s="76">
        <v>35984</v>
      </c>
      <c r="AL70" s="76">
        <v>4620</v>
      </c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>
        <f>300000</f>
        <v>300000</v>
      </c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29"/>
      <c r="BJ70" s="29"/>
      <c r="BK70" s="29"/>
      <c r="BL70" s="29"/>
      <c r="BM70" s="29">
        <f t="shared" si="12"/>
        <v>1305161</v>
      </c>
      <c r="BN70" s="29"/>
      <c r="BO70" s="29"/>
      <c r="BP70" s="29"/>
      <c r="BQ70" s="76"/>
      <c r="BR70" s="76">
        <v>300000</v>
      </c>
      <c r="BS70" s="76"/>
      <c r="BT70" s="76"/>
      <c r="BU70" s="76"/>
      <c r="BV70" s="76">
        <v>3900</v>
      </c>
      <c r="BW70" s="76"/>
      <c r="BX70" s="76"/>
      <c r="BY70" s="76"/>
      <c r="BZ70" s="76"/>
      <c r="CA70" s="76"/>
      <c r="CB70" s="76"/>
      <c r="CC70" s="76"/>
      <c r="CD70" s="76"/>
      <c r="CE70" s="29"/>
      <c r="CF70" s="29"/>
      <c r="CG70" s="29"/>
      <c r="CH70" s="29">
        <f t="shared" si="13"/>
        <v>303900</v>
      </c>
      <c r="CI70" s="76"/>
    </row>
    <row r="71" spans="1:87" ht="59.25" customHeight="1" x14ac:dyDescent="0.8">
      <c r="A71" s="12" t="s">
        <v>131</v>
      </c>
      <c r="B71" s="13" t="s">
        <v>132</v>
      </c>
      <c r="C71" s="76"/>
      <c r="D71" s="76">
        <f>1258500+1285400</f>
        <v>2543900</v>
      </c>
      <c r="E71" s="76"/>
      <c r="F71" s="76"/>
      <c r="G71" s="76"/>
      <c r="H71" s="76"/>
      <c r="I71" s="76">
        <f>380000-200000</f>
        <v>180000</v>
      </c>
      <c r="J71" s="76"/>
      <c r="K71" s="29">
        <f>L71</f>
        <v>0</v>
      </c>
      <c r="L71" s="76"/>
      <c r="M71" s="76"/>
      <c r="N71" s="76"/>
      <c r="O71" s="76"/>
      <c r="P71" s="76"/>
      <c r="Q71" s="76">
        <f>124041+45290</f>
        <v>169331</v>
      </c>
      <c r="R71" s="76"/>
      <c r="S71" s="76"/>
      <c r="T71" s="76"/>
      <c r="U71" s="76"/>
      <c r="V71" s="29"/>
      <c r="W71" s="29">
        <f t="shared" si="3"/>
        <v>90693</v>
      </c>
      <c r="X71" s="76"/>
      <c r="Y71" s="76"/>
      <c r="Z71" s="76">
        <f>92799-2106</f>
        <v>90693</v>
      </c>
      <c r="AA71" s="76"/>
      <c r="AB71" s="76"/>
      <c r="AC71" s="76"/>
      <c r="AD71" s="76"/>
      <c r="AE71" s="29">
        <f t="shared" si="4"/>
        <v>481599</v>
      </c>
      <c r="AF71" s="29">
        <v>275499</v>
      </c>
      <c r="AG71" s="29">
        <v>206100</v>
      </c>
      <c r="AH71" s="29">
        <f t="shared" si="5"/>
        <v>328904</v>
      </c>
      <c r="AI71" s="76">
        <v>134892</v>
      </c>
      <c r="AJ71" s="76">
        <v>115884</v>
      </c>
      <c r="AK71" s="76">
        <v>71968</v>
      </c>
      <c r="AL71" s="76">
        <v>6160</v>
      </c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>
        <v>150000</v>
      </c>
      <c r="AZ71" s="76"/>
      <c r="BA71" s="76"/>
      <c r="BB71" s="76"/>
      <c r="BC71" s="76"/>
      <c r="BD71" s="76"/>
      <c r="BE71" s="76"/>
      <c r="BF71" s="76"/>
      <c r="BG71" s="76"/>
      <c r="BH71" s="76"/>
      <c r="BI71" s="29"/>
      <c r="BJ71" s="29"/>
      <c r="BK71" s="29"/>
      <c r="BL71" s="29"/>
      <c r="BM71" s="29">
        <f t="shared" si="12"/>
        <v>3944427</v>
      </c>
      <c r="BN71" s="29"/>
      <c r="BO71" s="29"/>
      <c r="BP71" s="29"/>
      <c r="BQ71" s="76"/>
      <c r="BR71" s="76">
        <v>1000000</v>
      </c>
      <c r="BS71" s="76"/>
      <c r="BT71" s="76"/>
      <c r="BU71" s="76"/>
      <c r="BV71" s="76">
        <f>8831</f>
        <v>8831</v>
      </c>
      <c r="BW71" s="76"/>
      <c r="BX71" s="76"/>
      <c r="BY71" s="76"/>
      <c r="BZ71" s="76"/>
      <c r="CA71" s="76"/>
      <c r="CB71" s="76"/>
      <c r="CC71" s="76"/>
      <c r="CD71" s="76"/>
      <c r="CE71" s="29"/>
      <c r="CF71" s="29"/>
      <c r="CG71" s="29"/>
      <c r="CH71" s="29">
        <f t="shared" si="13"/>
        <v>1008831</v>
      </c>
      <c r="CI71" s="76"/>
    </row>
    <row r="72" spans="1:87" ht="63" customHeight="1" x14ac:dyDescent="0.8">
      <c r="A72" s="12" t="s">
        <v>241</v>
      </c>
      <c r="B72" s="13" t="s">
        <v>242</v>
      </c>
      <c r="C72" s="76"/>
      <c r="D72" s="76">
        <f>624900+638300</f>
        <v>1263200</v>
      </c>
      <c r="E72" s="76"/>
      <c r="F72" s="76"/>
      <c r="G72" s="76"/>
      <c r="H72" s="76"/>
      <c r="I72" s="76"/>
      <c r="J72" s="76"/>
      <c r="K72" s="29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29"/>
      <c r="W72" s="29">
        <f t="shared" si="3"/>
        <v>1369731</v>
      </c>
      <c r="X72" s="76"/>
      <c r="Y72" s="76">
        <v>1339500</v>
      </c>
      <c r="Z72" s="76">
        <f>30933-702</f>
        <v>30231</v>
      </c>
      <c r="AA72" s="76"/>
      <c r="AB72" s="76"/>
      <c r="AC72" s="76"/>
      <c r="AD72" s="76"/>
      <c r="AE72" s="29">
        <f t="shared" si="4"/>
        <v>0</v>
      </c>
      <c r="AF72" s="29"/>
      <c r="AG72" s="29"/>
      <c r="AH72" s="29">
        <f t="shared" si="5"/>
        <v>115477</v>
      </c>
      <c r="AI72" s="76">
        <v>44964</v>
      </c>
      <c r="AJ72" s="76">
        <v>30969</v>
      </c>
      <c r="AK72" s="76">
        <v>35984</v>
      </c>
      <c r="AL72" s="76">
        <v>3560</v>
      </c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>
        <f>280000</f>
        <v>280000</v>
      </c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29"/>
      <c r="BJ72" s="29"/>
      <c r="BK72" s="29"/>
      <c r="BL72" s="29"/>
      <c r="BM72" s="29">
        <f t="shared" si="12"/>
        <v>3028408</v>
      </c>
      <c r="BN72" s="29"/>
      <c r="BO72" s="29"/>
      <c r="BP72" s="29"/>
      <c r="BQ72" s="76"/>
      <c r="BR72" s="76"/>
      <c r="BS72" s="76"/>
      <c r="BT72" s="76"/>
      <c r="BU72" s="76"/>
      <c r="BV72" s="76">
        <v>3500</v>
      </c>
      <c r="BW72" s="76"/>
      <c r="BX72" s="76"/>
      <c r="BY72" s="76"/>
      <c r="BZ72" s="76"/>
      <c r="CA72" s="76"/>
      <c r="CB72" s="76"/>
      <c r="CC72" s="76"/>
      <c r="CD72" s="76"/>
      <c r="CE72" s="29"/>
      <c r="CF72" s="29"/>
      <c r="CG72" s="29"/>
      <c r="CH72" s="29">
        <f t="shared" si="13"/>
        <v>3500</v>
      </c>
      <c r="CI72" s="76"/>
    </row>
    <row r="73" spans="1:87" ht="66.75" customHeight="1" x14ac:dyDescent="0.8">
      <c r="A73" s="12" t="s">
        <v>239</v>
      </c>
      <c r="B73" s="13" t="s">
        <v>240</v>
      </c>
      <c r="C73" s="76"/>
      <c r="D73" s="76">
        <f>2353400+2403700</f>
        <v>4757100</v>
      </c>
      <c r="E73" s="76"/>
      <c r="F73" s="76"/>
      <c r="G73" s="76"/>
      <c r="H73" s="76"/>
      <c r="I73" s="76"/>
      <c r="J73" s="76"/>
      <c r="K73" s="29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29"/>
      <c r="W73" s="29">
        <f t="shared" si="3"/>
        <v>1505771</v>
      </c>
      <c r="X73" s="76"/>
      <c r="Y73" s="76">
        <v>1339500</v>
      </c>
      <c r="Z73" s="76">
        <f>170132-3861</f>
        <v>166271</v>
      </c>
      <c r="AA73" s="76"/>
      <c r="AB73" s="76"/>
      <c r="AC73" s="76"/>
      <c r="AD73" s="76"/>
      <c r="AE73" s="29">
        <f t="shared" si="4"/>
        <v>542821</v>
      </c>
      <c r="AF73" s="29">
        <v>336721</v>
      </c>
      <c r="AG73" s="29">
        <v>206100</v>
      </c>
      <c r="AH73" s="29">
        <f t="shared" si="5"/>
        <v>539501</v>
      </c>
      <c r="AI73" s="76">
        <v>247302</v>
      </c>
      <c r="AJ73" s="76">
        <v>180819</v>
      </c>
      <c r="AK73" s="76">
        <v>89960</v>
      </c>
      <c r="AL73" s="76">
        <v>21420</v>
      </c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>
        <v>550000</v>
      </c>
      <c r="BD73" s="76"/>
      <c r="BE73" s="76"/>
      <c r="BF73" s="76"/>
      <c r="BG73" s="76"/>
      <c r="BH73" s="76"/>
      <c r="BI73" s="29"/>
      <c r="BJ73" s="29"/>
      <c r="BK73" s="29"/>
      <c r="BL73" s="29"/>
      <c r="BM73" s="29">
        <f t="shared" si="12"/>
        <v>7895193</v>
      </c>
      <c r="BN73" s="29"/>
      <c r="BO73" s="29"/>
      <c r="BP73" s="29"/>
      <c r="BQ73" s="76"/>
      <c r="BR73" s="76"/>
      <c r="BS73" s="76"/>
      <c r="BT73" s="76"/>
      <c r="BU73" s="76"/>
      <c r="BV73" s="76">
        <v>17200</v>
      </c>
      <c r="BW73" s="76"/>
      <c r="BX73" s="76"/>
      <c r="BY73" s="76"/>
      <c r="BZ73" s="76"/>
      <c r="CA73" s="76"/>
      <c r="CB73" s="76"/>
      <c r="CC73" s="76"/>
      <c r="CD73" s="76"/>
      <c r="CE73" s="29"/>
      <c r="CF73" s="29">
        <v>1500000</v>
      </c>
      <c r="CG73" s="29"/>
      <c r="CH73" s="29">
        <f t="shared" si="13"/>
        <v>1517200</v>
      </c>
      <c r="CI73" s="76"/>
    </row>
    <row r="74" spans="1:87" ht="59.25" customHeight="1" x14ac:dyDescent="0.8">
      <c r="A74" s="12" t="s">
        <v>133</v>
      </c>
      <c r="B74" s="13" t="s">
        <v>134</v>
      </c>
      <c r="C74" s="76"/>
      <c r="D74" s="76">
        <f>431300+440500</f>
        <v>871800</v>
      </c>
      <c r="E74" s="76"/>
      <c r="F74" s="76"/>
      <c r="G74" s="76"/>
      <c r="H74" s="76"/>
      <c r="I74" s="76"/>
      <c r="J74" s="76"/>
      <c r="K74" s="29">
        <f>L74</f>
        <v>0</v>
      </c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29"/>
      <c r="W74" s="29">
        <f t="shared" si="3"/>
        <v>45347</v>
      </c>
      <c r="X74" s="76"/>
      <c r="Y74" s="76"/>
      <c r="Z74" s="76">
        <f>46400-1053</f>
        <v>45347</v>
      </c>
      <c r="AA74" s="76"/>
      <c r="AB74" s="76"/>
      <c r="AC74" s="76"/>
      <c r="AD74" s="76"/>
      <c r="AE74" s="29">
        <f t="shared" si="4"/>
        <v>0</v>
      </c>
      <c r="AF74" s="29"/>
      <c r="AG74" s="29"/>
      <c r="AH74" s="29">
        <f t="shared" si="5"/>
        <v>159418</v>
      </c>
      <c r="AI74" s="76">
        <v>67446</v>
      </c>
      <c r="AJ74" s="76">
        <v>51948</v>
      </c>
      <c r="AK74" s="76">
        <v>35984</v>
      </c>
      <c r="AL74" s="76">
        <v>4040</v>
      </c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>
        <v>100000</v>
      </c>
      <c r="AZ74" s="76"/>
      <c r="BA74" s="76"/>
      <c r="BB74" s="76"/>
      <c r="BC74" s="76"/>
      <c r="BD74" s="76"/>
      <c r="BE74" s="76"/>
      <c r="BF74" s="76"/>
      <c r="BG74" s="76"/>
      <c r="BH74" s="76"/>
      <c r="BI74" s="29"/>
      <c r="BJ74" s="29"/>
      <c r="BK74" s="29"/>
      <c r="BL74" s="29"/>
      <c r="BM74" s="29">
        <f t="shared" si="12"/>
        <v>1176565</v>
      </c>
      <c r="BN74" s="29"/>
      <c r="BO74" s="29"/>
      <c r="BP74" s="29"/>
      <c r="BQ74" s="76"/>
      <c r="BR74" s="76">
        <v>500000</v>
      </c>
      <c r="BS74" s="76"/>
      <c r="BT74" s="76">
        <v>100000</v>
      </c>
      <c r="BU74" s="76"/>
      <c r="BV74" s="76">
        <v>3200</v>
      </c>
      <c r="BW74" s="76"/>
      <c r="BX74" s="76"/>
      <c r="BY74" s="76"/>
      <c r="BZ74" s="76"/>
      <c r="CA74" s="76"/>
      <c r="CB74" s="76"/>
      <c r="CC74" s="76"/>
      <c r="CD74" s="76"/>
      <c r="CE74" s="29"/>
      <c r="CF74" s="29"/>
      <c r="CG74" s="29"/>
      <c r="CH74" s="29">
        <f t="shared" si="13"/>
        <v>603200</v>
      </c>
      <c r="CI74" s="76"/>
    </row>
    <row r="75" spans="1:87" ht="59.25" customHeight="1" x14ac:dyDescent="0.8">
      <c r="A75" s="12" t="s">
        <v>228</v>
      </c>
      <c r="B75" s="13" t="s">
        <v>229</v>
      </c>
      <c r="C75" s="76"/>
      <c r="D75" s="76">
        <f>1208800+1234700</f>
        <v>2443500</v>
      </c>
      <c r="E75" s="76"/>
      <c r="F75" s="76"/>
      <c r="G75" s="76"/>
      <c r="H75" s="76"/>
      <c r="I75" s="76"/>
      <c r="J75" s="76"/>
      <c r="K75" s="29"/>
      <c r="L75" s="76"/>
      <c r="M75" s="76"/>
      <c r="N75" s="76"/>
      <c r="O75" s="76">
        <v>390066</v>
      </c>
      <c r="P75" s="76">
        <f>58820</f>
        <v>58820</v>
      </c>
      <c r="Q75" s="76"/>
      <c r="R75" s="76"/>
      <c r="S75" s="76"/>
      <c r="T75" s="76"/>
      <c r="U75" s="76"/>
      <c r="V75" s="29"/>
      <c r="W75" s="29">
        <f t="shared" si="3"/>
        <v>4975234</v>
      </c>
      <c r="X75" s="76">
        <v>3545041</v>
      </c>
      <c r="Y75" s="76">
        <f>1339500</f>
        <v>1339500</v>
      </c>
      <c r="Z75" s="76">
        <f>92799-2106</f>
        <v>90693</v>
      </c>
      <c r="AA75" s="76"/>
      <c r="AB75" s="76"/>
      <c r="AC75" s="76"/>
      <c r="AD75" s="76"/>
      <c r="AE75" s="29">
        <f t="shared" si="4"/>
        <v>0</v>
      </c>
      <c r="AF75" s="29"/>
      <c r="AG75" s="29"/>
      <c r="AH75" s="29">
        <f t="shared" si="5"/>
        <v>265842</v>
      </c>
      <c r="AI75" s="76">
        <v>134892</v>
      </c>
      <c r="AJ75" s="76">
        <v>101898</v>
      </c>
      <c r="AK75" s="76">
        <v>17992</v>
      </c>
      <c r="AL75" s="76">
        <v>11060</v>
      </c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29"/>
      <c r="BJ75" s="29"/>
      <c r="BK75" s="29"/>
      <c r="BL75" s="29"/>
      <c r="BM75" s="29">
        <f t="shared" si="12"/>
        <v>8133462</v>
      </c>
      <c r="BN75" s="29"/>
      <c r="BO75" s="29"/>
      <c r="BP75" s="29"/>
      <c r="BQ75" s="76"/>
      <c r="BR75" s="76">
        <v>500000</v>
      </c>
      <c r="BS75" s="76"/>
      <c r="BT75" s="76"/>
      <c r="BU75" s="76"/>
      <c r="BV75" s="76">
        <v>8300</v>
      </c>
      <c r="BW75" s="76"/>
      <c r="BX75" s="76"/>
      <c r="BY75" s="76"/>
      <c r="BZ75" s="76"/>
      <c r="CA75" s="76"/>
      <c r="CB75" s="76"/>
      <c r="CC75" s="76"/>
      <c r="CD75" s="76"/>
      <c r="CE75" s="29"/>
      <c r="CF75" s="29"/>
      <c r="CG75" s="29"/>
      <c r="CH75" s="29">
        <f t="shared" si="13"/>
        <v>508300</v>
      </c>
      <c r="CI75" s="76"/>
    </row>
    <row r="76" spans="1:87" ht="63" customHeight="1" x14ac:dyDescent="0.8">
      <c r="A76" s="12" t="s">
        <v>196</v>
      </c>
      <c r="B76" s="13" t="s">
        <v>197</v>
      </c>
      <c r="C76" s="76"/>
      <c r="D76" s="76">
        <f>1934300+1975600</f>
        <v>3909900</v>
      </c>
      <c r="E76" s="76"/>
      <c r="F76" s="76"/>
      <c r="G76" s="76"/>
      <c r="H76" s="76"/>
      <c r="I76" s="76">
        <v>380000</v>
      </c>
      <c r="J76" s="76"/>
      <c r="K76" s="29"/>
      <c r="L76" s="76"/>
      <c r="M76" s="76"/>
      <c r="N76" s="76"/>
      <c r="O76" s="76">
        <v>494084</v>
      </c>
      <c r="P76" s="76">
        <f>74505</f>
        <v>74505</v>
      </c>
      <c r="Q76" s="76">
        <f>274305</f>
        <v>274305</v>
      </c>
      <c r="R76" s="76"/>
      <c r="S76" s="76"/>
      <c r="T76" s="76"/>
      <c r="U76" s="76"/>
      <c r="V76" s="29"/>
      <c r="W76" s="29">
        <f t="shared" si="3"/>
        <v>1520886</v>
      </c>
      <c r="X76" s="76"/>
      <c r="Y76" s="76">
        <f>1339500</f>
        <v>1339500</v>
      </c>
      <c r="Z76" s="76">
        <f>185598-4212</f>
        <v>181386</v>
      </c>
      <c r="AA76" s="76"/>
      <c r="AB76" s="76"/>
      <c r="AC76" s="76"/>
      <c r="AD76" s="76"/>
      <c r="AE76" s="29">
        <f t="shared" si="4"/>
        <v>206100</v>
      </c>
      <c r="AF76" s="29"/>
      <c r="AG76" s="29">
        <v>206100</v>
      </c>
      <c r="AH76" s="29">
        <f t="shared" si="5"/>
        <v>585037</v>
      </c>
      <c r="AI76" s="76">
        <v>269784</v>
      </c>
      <c r="AJ76" s="76">
        <v>198801</v>
      </c>
      <c r="AK76" s="76">
        <v>107952</v>
      </c>
      <c r="AL76" s="76">
        <v>8500</v>
      </c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29"/>
      <c r="BJ76" s="29"/>
      <c r="BK76" s="29"/>
      <c r="BL76" s="29"/>
      <c r="BM76" s="29">
        <f t="shared" si="12"/>
        <v>7444817</v>
      </c>
      <c r="BN76" s="29"/>
      <c r="BO76" s="29"/>
      <c r="BP76" s="29"/>
      <c r="BQ76" s="76"/>
      <c r="BR76" s="76"/>
      <c r="BS76" s="76"/>
      <c r="BT76" s="76"/>
      <c r="BU76" s="76"/>
      <c r="BV76" s="76">
        <v>15000</v>
      </c>
      <c r="BW76" s="76"/>
      <c r="BX76" s="76"/>
      <c r="BY76" s="76"/>
      <c r="BZ76" s="76"/>
      <c r="CA76" s="76"/>
      <c r="CB76" s="76"/>
      <c r="CC76" s="76"/>
      <c r="CD76" s="76"/>
      <c r="CE76" s="29"/>
      <c r="CF76" s="29"/>
      <c r="CG76" s="29"/>
      <c r="CH76" s="29">
        <f t="shared" si="13"/>
        <v>15000</v>
      </c>
      <c r="CI76" s="76"/>
    </row>
    <row r="77" spans="1:87" ht="63" customHeight="1" x14ac:dyDescent="0.8">
      <c r="A77" s="12" t="s">
        <v>135</v>
      </c>
      <c r="B77" s="13" t="s">
        <v>136</v>
      </c>
      <c r="C77" s="76"/>
      <c r="D77" s="76">
        <f>1476900+1508500</f>
        <v>2985400</v>
      </c>
      <c r="E77" s="76"/>
      <c r="F77" s="76"/>
      <c r="G77" s="76"/>
      <c r="H77" s="76"/>
      <c r="I77" s="76"/>
      <c r="J77" s="76"/>
      <c r="K77" s="29">
        <f>L77</f>
        <v>0</v>
      </c>
      <c r="L77" s="76"/>
      <c r="M77" s="76"/>
      <c r="N77" s="76"/>
      <c r="O77" s="76">
        <v>650110</v>
      </c>
      <c r="P77" s="76">
        <f>98033</f>
        <v>98033</v>
      </c>
      <c r="Q77" s="76">
        <f>297452</f>
        <v>297452</v>
      </c>
      <c r="R77" s="76"/>
      <c r="S77" s="76"/>
      <c r="T77" s="76"/>
      <c r="U77" s="76"/>
      <c r="V77" s="29"/>
      <c r="W77" s="29">
        <f t="shared" si="3"/>
        <v>1475540</v>
      </c>
      <c r="X77" s="76"/>
      <c r="Y77" s="76">
        <v>1339500</v>
      </c>
      <c r="Z77" s="76">
        <f>139199-3159</f>
        <v>136040</v>
      </c>
      <c r="AA77" s="76"/>
      <c r="AB77" s="76"/>
      <c r="AC77" s="76"/>
      <c r="AD77" s="76"/>
      <c r="AE77" s="29">
        <f t="shared" si="4"/>
        <v>267322</v>
      </c>
      <c r="AF77" s="29">
        <v>61222</v>
      </c>
      <c r="AG77" s="29">
        <v>206100</v>
      </c>
      <c r="AH77" s="29">
        <f t="shared" si="5"/>
        <v>495672</v>
      </c>
      <c r="AI77" s="76">
        <v>202338</v>
      </c>
      <c r="AJ77" s="76">
        <v>169830</v>
      </c>
      <c r="AK77" s="76">
        <v>107952</v>
      </c>
      <c r="AL77" s="76">
        <v>15552</v>
      </c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>
        <v>67500</v>
      </c>
      <c r="AZ77" s="76"/>
      <c r="BA77" s="76"/>
      <c r="BB77" s="76"/>
      <c r="BC77" s="76"/>
      <c r="BD77" s="76"/>
      <c r="BE77" s="76"/>
      <c r="BF77" s="76"/>
      <c r="BG77" s="76">
        <f>1000000</f>
        <v>1000000</v>
      </c>
      <c r="BH77" s="76">
        <f>730000</f>
        <v>730000</v>
      </c>
      <c r="BI77" s="29"/>
      <c r="BJ77" s="29"/>
      <c r="BK77" s="29"/>
      <c r="BL77" s="29"/>
      <c r="BM77" s="29">
        <f t="shared" ref="BM77:BM108" si="19">SUM(C77:BK77)-X77-Y77-Z77-AA77-AB77-AC77-AD77-AT77-L77-M77-N77-AI77-AJ77-AK77-AF77-AG77-AL77+BL77</f>
        <v>8067029</v>
      </c>
      <c r="BN77" s="29"/>
      <c r="BO77" s="29"/>
      <c r="BP77" s="29"/>
      <c r="BQ77" s="76"/>
      <c r="BR77" s="76"/>
      <c r="BS77" s="76"/>
      <c r="BT77" s="76"/>
      <c r="BU77" s="76"/>
      <c r="BV77" s="76">
        <v>15100</v>
      </c>
      <c r="BW77" s="76"/>
      <c r="BX77" s="76"/>
      <c r="BY77" s="76"/>
      <c r="BZ77" s="76"/>
      <c r="CA77" s="76"/>
      <c r="CB77" s="76"/>
      <c r="CC77" s="76"/>
      <c r="CD77" s="76"/>
      <c r="CE77" s="29"/>
      <c r="CF77" s="29"/>
      <c r="CG77" s="29"/>
      <c r="CH77" s="29">
        <f t="shared" ref="CH77:CH108" si="20">SUM(BN77:CG77)</f>
        <v>15100</v>
      </c>
      <c r="CI77" s="76"/>
    </row>
    <row r="78" spans="1:87" ht="66.75" customHeight="1" x14ac:dyDescent="0.8">
      <c r="A78" s="12" t="s">
        <v>198</v>
      </c>
      <c r="B78" s="13" t="s">
        <v>199</v>
      </c>
      <c r="C78" s="76"/>
      <c r="D78" s="76">
        <f>414000+422900</f>
        <v>836900</v>
      </c>
      <c r="E78" s="76"/>
      <c r="F78" s="76"/>
      <c r="G78" s="76"/>
      <c r="H78" s="76"/>
      <c r="I78" s="76"/>
      <c r="J78" s="76"/>
      <c r="K78" s="29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29"/>
      <c r="W78" s="29">
        <f t="shared" ref="W78:W112" si="21">X78+Y78+Z78+AA78+AB78+AC78+AD78</f>
        <v>30231</v>
      </c>
      <c r="X78" s="76"/>
      <c r="Y78" s="76"/>
      <c r="Z78" s="76">
        <f>30933-702</f>
        <v>30231</v>
      </c>
      <c r="AA78" s="76"/>
      <c r="AB78" s="76"/>
      <c r="AC78" s="76"/>
      <c r="AD78" s="76"/>
      <c r="AE78" s="29">
        <f t="shared" ref="AE78:AE111" si="22">AF78+AG78</f>
        <v>0</v>
      </c>
      <c r="AF78" s="29"/>
      <c r="AG78" s="29"/>
      <c r="AH78" s="29">
        <f t="shared" ref="AH78:AH106" si="23">AI78+AJ78+AK78+AL78</f>
        <v>112121</v>
      </c>
      <c r="AI78" s="76">
        <v>44964</v>
      </c>
      <c r="AJ78" s="76">
        <v>26973</v>
      </c>
      <c r="AK78" s="76">
        <v>35984</v>
      </c>
      <c r="AL78" s="76">
        <v>4200</v>
      </c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29"/>
      <c r="BJ78" s="29"/>
      <c r="BK78" s="29"/>
      <c r="BL78" s="29"/>
      <c r="BM78" s="29">
        <f t="shared" si="19"/>
        <v>979252</v>
      </c>
      <c r="BN78" s="29"/>
      <c r="BO78" s="29"/>
      <c r="BP78" s="29"/>
      <c r="BQ78" s="76"/>
      <c r="BR78" s="76"/>
      <c r="BS78" s="76"/>
      <c r="BT78" s="76"/>
      <c r="BU78" s="76"/>
      <c r="BV78" s="76">
        <v>2500</v>
      </c>
      <c r="BW78" s="76"/>
      <c r="BX78" s="76"/>
      <c r="BY78" s="76"/>
      <c r="BZ78" s="76"/>
      <c r="CA78" s="76"/>
      <c r="CB78" s="76"/>
      <c r="CC78" s="76"/>
      <c r="CD78" s="76"/>
      <c r="CE78" s="29"/>
      <c r="CF78" s="29"/>
      <c r="CG78" s="29"/>
      <c r="CH78" s="29">
        <f t="shared" si="20"/>
        <v>2500</v>
      </c>
      <c r="CI78" s="76"/>
    </row>
    <row r="79" spans="1:87" ht="66.75" customHeight="1" x14ac:dyDescent="0.8">
      <c r="A79" s="12" t="s">
        <v>137</v>
      </c>
      <c r="B79" s="13" t="s">
        <v>138</v>
      </c>
      <c r="C79" s="76"/>
      <c r="D79" s="76">
        <f>625000+638300</f>
        <v>1263300</v>
      </c>
      <c r="E79" s="76"/>
      <c r="F79" s="76"/>
      <c r="G79" s="76"/>
      <c r="H79" s="76"/>
      <c r="I79" s="76"/>
      <c r="J79" s="76"/>
      <c r="K79" s="29">
        <f t="shared" ref="K79:K100" si="24">L79</f>
        <v>0</v>
      </c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29"/>
      <c r="W79" s="29">
        <f t="shared" si="21"/>
        <v>45347</v>
      </c>
      <c r="X79" s="76"/>
      <c r="Y79" s="76"/>
      <c r="Z79" s="76">
        <f>46400-1053</f>
        <v>45347</v>
      </c>
      <c r="AA79" s="76"/>
      <c r="AB79" s="76"/>
      <c r="AC79" s="76"/>
      <c r="AD79" s="76"/>
      <c r="AE79" s="29">
        <f t="shared" si="22"/>
        <v>0</v>
      </c>
      <c r="AF79" s="29"/>
      <c r="AG79" s="29"/>
      <c r="AH79" s="29">
        <f t="shared" si="23"/>
        <v>165165</v>
      </c>
      <c r="AI79" s="76">
        <v>67446</v>
      </c>
      <c r="AJ79" s="76">
        <v>36963</v>
      </c>
      <c r="AK79" s="76">
        <v>53976</v>
      </c>
      <c r="AL79" s="76">
        <v>6780</v>
      </c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>
        <v>100000</v>
      </c>
      <c r="AZ79" s="76"/>
      <c r="BA79" s="76"/>
      <c r="BB79" s="76"/>
      <c r="BC79" s="76"/>
      <c r="BD79" s="76"/>
      <c r="BE79" s="76"/>
      <c r="BF79" s="76"/>
      <c r="BG79" s="76"/>
      <c r="BH79" s="76"/>
      <c r="BI79" s="29"/>
      <c r="BJ79" s="29"/>
      <c r="BK79" s="29"/>
      <c r="BL79" s="29"/>
      <c r="BM79" s="29">
        <f t="shared" si="19"/>
        <v>1573812</v>
      </c>
      <c r="BN79" s="29"/>
      <c r="BO79" s="29"/>
      <c r="BP79" s="29"/>
      <c r="BQ79" s="76"/>
      <c r="BR79" s="76"/>
      <c r="BS79" s="76"/>
      <c r="BT79" s="76"/>
      <c r="BU79" s="76"/>
      <c r="BV79" s="76">
        <v>4000</v>
      </c>
      <c r="BW79" s="76"/>
      <c r="BX79" s="76"/>
      <c r="BY79" s="76"/>
      <c r="BZ79" s="76"/>
      <c r="CA79" s="76"/>
      <c r="CB79" s="76"/>
      <c r="CC79" s="76"/>
      <c r="CD79" s="76"/>
      <c r="CE79" s="29"/>
      <c r="CF79" s="29"/>
      <c r="CG79" s="29"/>
      <c r="CH79" s="29">
        <f t="shared" si="20"/>
        <v>4000</v>
      </c>
      <c r="CI79" s="76"/>
    </row>
    <row r="80" spans="1:87" ht="55.5" customHeight="1" x14ac:dyDescent="0.8">
      <c r="A80" s="12" t="s">
        <v>139</v>
      </c>
      <c r="B80" s="13" t="s">
        <v>140</v>
      </c>
      <c r="C80" s="76"/>
      <c r="D80" s="76">
        <v>568500</v>
      </c>
      <c r="E80" s="76"/>
      <c r="F80" s="76"/>
      <c r="G80" s="76"/>
      <c r="H80" s="76"/>
      <c r="I80" s="76"/>
      <c r="J80" s="76"/>
      <c r="K80" s="29">
        <f t="shared" si="24"/>
        <v>0</v>
      </c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29"/>
      <c r="W80" s="29">
        <f t="shared" si="21"/>
        <v>60462</v>
      </c>
      <c r="X80" s="76"/>
      <c r="Y80" s="76"/>
      <c r="Z80" s="76">
        <f>61866-1404</f>
        <v>60462</v>
      </c>
      <c r="AA80" s="76"/>
      <c r="AB80" s="76"/>
      <c r="AC80" s="76"/>
      <c r="AD80" s="76"/>
      <c r="AE80" s="29">
        <f t="shared" si="22"/>
        <v>206100</v>
      </c>
      <c r="AF80" s="29"/>
      <c r="AG80" s="29">
        <v>206100</v>
      </c>
      <c r="AH80" s="29">
        <f t="shared" si="23"/>
        <v>205796</v>
      </c>
      <c r="AI80" s="76">
        <v>89928</v>
      </c>
      <c r="AJ80" s="76">
        <v>35964</v>
      </c>
      <c r="AK80" s="76">
        <v>71968</v>
      </c>
      <c r="AL80" s="76">
        <v>7936</v>
      </c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>
        <v>202000</v>
      </c>
      <c r="AZ80" s="76"/>
      <c r="BA80" s="76"/>
      <c r="BB80" s="76"/>
      <c r="BC80" s="76"/>
      <c r="BD80" s="76"/>
      <c r="BE80" s="76"/>
      <c r="BF80" s="76"/>
      <c r="BG80" s="76"/>
      <c r="BH80" s="76"/>
      <c r="BI80" s="29"/>
      <c r="BJ80" s="29"/>
      <c r="BK80" s="29"/>
      <c r="BL80" s="29">
        <v>250000</v>
      </c>
      <c r="BM80" s="29">
        <f t="shared" si="19"/>
        <v>1492858</v>
      </c>
      <c r="BN80" s="29"/>
      <c r="BO80" s="29"/>
      <c r="BP80" s="29"/>
      <c r="BQ80" s="76"/>
      <c r="BR80" s="76">
        <v>1300000</v>
      </c>
      <c r="BS80" s="76"/>
      <c r="BT80" s="76"/>
      <c r="BU80" s="76"/>
      <c r="BV80" s="76">
        <f>3600</f>
        <v>3600</v>
      </c>
      <c r="BW80" s="76"/>
      <c r="BX80" s="76"/>
      <c r="BY80" s="76"/>
      <c r="BZ80" s="76"/>
      <c r="CA80" s="76"/>
      <c r="CB80" s="76"/>
      <c r="CC80" s="76"/>
      <c r="CD80" s="76"/>
      <c r="CE80" s="29"/>
      <c r="CF80" s="29"/>
      <c r="CG80" s="29"/>
      <c r="CH80" s="29">
        <f t="shared" si="20"/>
        <v>1303600</v>
      </c>
      <c r="CI80" s="76"/>
    </row>
    <row r="81" spans="1:87" ht="59.25" customHeight="1" x14ac:dyDescent="0.8">
      <c r="A81" s="12" t="s">
        <v>141</v>
      </c>
      <c r="B81" s="13" t="s">
        <v>142</v>
      </c>
      <c r="C81" s="76"/>
      <c r="D81" s="76">
        <f>835400+853200</f>
        <v>1688600</v>
      </c>
      <c r="E81" s="76"/>
      <c r="F81" s="76"/>
      <c r="G81" s="76"/>
      <c r="H81" s="76"/>
      <c r="I81" s="76"/>
      <c r="J81" s="76"/>
      <c r="K81" s="29">
        <f t="shared" si="24"/>
        <v>0</v>
      </c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29"/>
      <c r="W81" s="29">
        <f t="shared" si="21"/>
        <v>30231</v>
      </c>
      <c r="X81" s="76"/>
      <c r="Y81" s="76"/>
      <c r="Z81" s="76">
        <f>30933-702</f>
        <v>30231</v>
      </c>
      <c r="AA81" s="76"/>
      <c r="AB81" s="76"/>
      <c r="AC81" s="76"/>
      <c r="AD81" s="76"/>
      <c r="AE81" s="29">
        <f t="shared" si="22"/>
        <v>0</v>
      </c>
      <c r="AF81" s="29"/>
      <c r="AG81" s="29"/>
      <c r="AH81" s="29">
        <f t="shared" si="23"/>
        <v>126427</v>
      </c>
      <c r="AI81" s="76">
        <v>44964</v>
      </c>
      <c r="AJ81" s="76">
        <v>40959</v>
      </c>
      <c r="AK81" s="76">
        <v>35984</v>
      </c>
      <c r="AL81" s="76">
        <v>4520</v>
      </c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>
        <f>400000</f>
        <v>400000</v>
      </c>
      <c r="AY81" s="76">
        <v>200000</v>
      </c>
      <c r="AZ81" s="76"/>
      <c r="BA81" s="76"/>
      <c r="BB81" s="76"/>
      <c r="BC81" s="76"/>
      <c r="BD81" s="76"/>
      <c r="BE81" s="76"/>
      <c r="BF81" s="76"/>
      <c r="BG81" s="76"/>
      <c r="BH81" s="76"/>
      <c r="BI81" s="29"/>
      <c r="BJ81" s="29"/>
      <c r="BK81" s="29"/>
      <c r="BL81" s="29"/>
      <c r="BM81" s="29">
        <f t="shared" si="19"/>
        <v>2445258</v>
      </c>
      <c r="BN81" s="29"/>
      <c r="BO81" s="29"/>
      <c r="BP81" s="29"/>
      <c r="BQ81" s="76"/>
      <c r="BR81" s="76"/>
      <c r="BS81" s="76"/>
      <c r="BT81" s="76"/>
      <c r="BU81" s="76"/>
      <c r="BV81" s="76">
        <v>4400</v>
      </c>
      <c r="BW81" s="76"/>
      <c r="BX81" s="76"/>
      <c r="BY81" s="76"/>
      <c r="BZ81" s="76"/>
      <c r="CA81" s="76"/>
      <c r="CB81" s="76"/>
      <c r="CC81" s="76"/>
      <c r="CD81" s="76"/>
      <c r="CE81" s="29"/>
      <c r="CF81" s="29"/>
      <c r="CG81" s="29"/>
      <c r="CH81" s="29">
        <f t="shared" si="20"/>
        <v>4400</v>
      </c>
      <c r="CI81" s="76"/>
    </row>
    <row r="82" spans="1:87" ht="59.25" customHeight="1" x14ac:dyDescent="0.8">
      <c r="A82" s="12" t="s">
        <v>143</v>
      </c>
      <c r="B82" s="13" t="s">
        <v>144</v>
      </c>
      <c r="C82" s="76"/>
      <c r="D82" s="76">
        <v>275800</v>
      </c>
      <c r="E82" s="76"/>
      <c r="F82" s="76"/>
      <c r="G82" s="76"/>
      <c r="H82" s="76"/>
      <c r="I82" s="76"/>
      <c r="J82" s="76"/>
      <c r="K82" s="29">
        <f t="shared" si="24"/>
        <v>0</v>
      </c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29"/>
      <c r="W82" s="29">
        <f t="shared" si="21"/>
        <v>45347</v>
      </c>
      <c r="X82" s="76"/>
      <c r="Y82" s="76"/>
      <c r="Z82" s="76">
        <f>46400-1053</f>
        <v>45347</v>
      </c>
      <c r="AA82" s="76"/>
      <c r="AB82" s="76"/>
      <c r="AC82" s="76"/>
      <c r="AD82" s="76"/>
      <c r="AE82" s="29">
        <f t="shared" si="22"/>
        <v>0</v>
      </c>
      <c r="AF82" s="29"/>
      <c r="AG82" s="29"/>
      <c r="AH82" s="29">
        <f t="shared" si="23"/>
        <v>144593</v>
      </c>
      <c r="AI82" s="76">
        <v>67446</v>
      </c>
      <c r="AJ82" s="76">
        <v>36963</v>
      </c>
      <c r="AK82" s="76">
        <v>35984</v>
      </c>
      <c r="AL82" s="76">
        <v>4200</v>
      </c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29"/>
      <c r="BJ82" s="29"/>
      <c r="BK82" s="29"/>
      <c r="BL82" s="29"/>
      <c r="BM82" s="29">
        <f t="shared" si="19"/>
        <v>465740</v>
      </c>
      <c r="BN82" s="29"/>
      <c r="BO82" s="29"/>
      <c r="BP82" s="29"/>
      <c r="BQ82" s="76"/>
      <c r="BR82" s="76"/>
      <c r="BS82" s="76"/>
      <c r="BT82" s="76"/>
      <c r="BU82" s="76"/>
      <c r="BV82" s="76">
        <v>2700</v>
      </c>
      <c r="BW82" s="76"/>
      <c r="BX82" s="76"/>
      <c r="BY82" s="76"/>
      <c r="BZ82" s="76"/>
      <c r="CA82" s="76"/>
      <c r="CB82" s="76"/>
      <c r="CC82" s="76"/>
      <c r="CD82" s="76"/>
      <c r="CE82" s="29"/>
      <c r="CF82" s="29"/>
      <c r="CG82" s="29"/>
      <c r="CH82" s="29">
        <f t="shared" si="20"/>
        <v>2700</v>
      </c>
      <c r="CI82" s="76"/>
    </row>
    <row r="83" spans="1:87" ht="63" customHeight="1" x14ac:dyDescent="0.8">
      <c r="A83" s="12" t="s">
        <v>145</v>
      </c>
      <c r="B83" s="13" t="s">
        <v>146</v>
      </c>
      <c r="C83" s="76"/>
      <c r="D83" s="76">
        <f>711800+726900</f>
        <v>1438700</v>
      </c>
      <c r="E83" s="76"/>
      <c r="F83" s="76"/>
      <c r="G83" s="76"/>
      <c r="H83" s="76"/>
      <c r="I83" s="76"/>
      <c r="J83" s="76"/>
      <c r="K83" s="29">
        <f t="shared" si="24"/>
        <v>0</v>
      </c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29"/>
      <c r="W83" s="29">
        <f t="shared" si="21"/>
        <v>45347</v>
      </c>
      <c r="X83" s="76"/>
      <c r="Y83" s="76"/>
      <c r="Z83" s="76">
        <f>46400-1053</f>
        <v>45347</v>
      </c>
      <c r="AA83" s="76"/>
      <c r="AB83" s="76"/>
      <c r="AC83" s="76"/>
      <c r="AD83" s="76"/>
      <c r="AE83" s="29">
        <f t="shared" si="22"/>
        <v>0</v>
      </c>
      <c r="AF83" s="29"/>
      <c r="AG83" s="29"/>
      <c r="AH83" s="29">
        <f t="shared" si="23"/>
        <v>179423</v>
      </c>
      <c r="AI83" s="76">
        <v>67446</v>
      </c>
      <c r="AJ83" s="76">
        <v>30969</v>
      </c>
      <c r="AK83" s="76">
        <v>71968</v>
      </c>
      <c r="AL83" s="76">
        <v>9040</v>
      </c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>
        <v>30000</v>
      </c>
      <c r="AZ83" s="76"/>
      <c r="BA83" s="76"/>
      <c r="BB83" s="76"/>
      <c r="BC83" s="76"/>
      <c r="BD83" s="76"/>
      <c r="BE83" s="76"/>
      <c r="BF83" s="76"/>
      <c r="BG83" s="76"/>
      <c r="BH83" s="76"/>
      <c r="BI83" s="29"/>
      <c r="BJ83" s="29"/>
      <c r="BK83" s="29"/>
      <c r="BL83" s="29"/>
      <c r="BM83" s="29">
        <f t="shared" si="19"/>
        <v>1693470</v>
      </c>
      <c r="BN83" s="29"/>
      <c r="BO83" s="29"/>
      <c r="BP83" s="29"/>
      <c r="BQ83" s="76"/>
      <c r="BR83" s="76"/>
      <c r="BS83" s="76"/>
      <c r="BT83" s="76"/>
      <c r="BU83" s="76"/>
      <c r="BV83" s="76">
        <f>4200</f>
        <v>4200</v>
      </c>
      <c r="BW83" s="76"/>
      <c r="BX83" s="76"/>
      <c r="BY83" s="76"/>
      <c r="BZ83" s="76"/>
      <c r="CA83" s="76"/>
      <c r="CB83" s="76"/>
      <c r="CC83" s="76"/>
      <c r="CD83" s="76"/>
      <c r="CE83" s="29"/>
      <c r="CF83" s="29"/>
      <c r="CG83" s="29"/>
      <c r="CH83" s="29">
        <f t="shared" si="20"/>
        <v>4200</v>
      </c>
      <c r="CI83" s="76"/>
    </row>
    <row r="84" spans="1:87" ht="63" customHeight="1" x14ac:dyDescent="0.8">
      <c r="A84" s="12" t="s">
        <v>147</v>
      </c>
      <c r="B84" s="13" t="s">
        <v>148</v>
      </c>
      <c r="C84" s="76"/>
      <c r="D84" s="76">
        <f>377100+385200</f>
        <v>762300</v>
      </c>
      <c r="E84" s="76"/>
      <c r="F84" s="76"/>
      <c r="G84" s="76"/>
      <c r="H84" s="76"/>
      <c r="I84" s="76"/>
      <c r="J84" s="76"/>
      <c r="K84" s="29">
        <f t="shared" si="24"/>
        <v>0</v>
      </c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29"/>
      <c r="W84" s="29">
        <f t="shared" si="21"/>
        <v>1369731</v>
      </c>
      <c r="X84" s="76"/>
      <c r="Y84" s="76">
        <f>1339500</f>
        <v>1339500</v>
      </c>
      <c r="Z84" s="76">
        <f>30933-702</f>
        <v>30231</v>
      </c>
      <c r="AA84" s="76"/>
      <c r="AB84" s="76"/>
      <c r="AC84" s="76"/>
      <c r="AD84" s="76"/>
      <c r="AE84" s="29">
        <f t="shared" si="22"/>
        <v>30611</v>
      </c>
      <c r="AF84" s="29">
        <v>30611</v>
      </c>
      <c r="AG84" s="29"/>
      <c r="AH84" s="29">
        <f t="shared" si="23"/>
        <v>120077</v>
      </c>
      <c r="AI84" s="76">
        <v>44964</v>
      </c>
      <c r="AJ84" s="76">
        <v>30969</v>
      </c>
      <c r="AK84" s="76">
        <v>35984</v>
      </c>
      <c r="AL84" s="76">
        <v>8160</v>
      </c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>
        <v>50000</v>
      </c>
      <c r="AZ84" s="76"/>
      <c r="BA84" s="76"/>
      <c r="BB84" s="76"/>
      <c r="BC84" s="76"/>
      <c r="BD84" s="76"/>
      <c r="BE84" s="76"/>
      <c r="BF84" s="76"/>
      <c r="BG84" s="76"/>
      <c r="BH84" s="76">
        <f>610000</f>
        <v>610000</v>
      </c>
      <c r="BI84" s="29"/>
      <c r="BJ84" s="29"/>
      <c r="BK84" s="29"/>
      <c r="BL84" s="29"/>
      <c r="BM84" s="29">
        <f t="shared" si="19"/>
        <v>2942719</v>
      </c>
      <c r="BN84" s="29"/>
      <c r="BO84" s="29"/>
      <c r="BP84" s="29"/>
      <c r="BQ84" s="76"/>
      <c r="BR84" s="76"/>
      <c r="BS84" s="76"/>
      <c r="BT84" s="76"/>
      <c r="BU84" s="76"/>
      <c r="BV84" s="76">
        <v>3000</v>
      </c>
      <c r="BW84" s="76"/>
      <c r="BX84" s="76"/>
      <c r="BY84" s="76"/>
      <c r="BZ84" s="76"/>
      <c r="CA84" s="76"/>
      <c r="CB84" s="76"/>
      <c r="CC84" s="76"/>
      <c r="CD84" s="76"/>
      <c r="CE84" s="29"/>
      <c r="CF84" s="29"/>
      <c r="CG84" s="29"/>
      <c r="CH84" s="29">
        <f t="shared" si="20"/>
        <v>3000</v>
      </c>
      <c r="CI84" s="76"/>
    </row>
    <row r="85" spans="1:87" ht="119.25" customHeight="1" x14ac:dyDescent="0.8">
      <c r="A85" s="12" t="s">
        <v>173</v>
      </c>
      <c r="B85" s="13" t="s">
        <v>219</v>
      </c>
      <c r="C85" s="76"/>
      <c r="D85" s="76"/>
      <c r="E85" s="76"/>
      <c r="F85" s="76"/>
      <c r="G85" s="76"/>
      <c r="H85" s="76"/>
      <c r="I85" s="76"/>
      <c r="J85" s="76"/>
      <c r="K85" s="29">
        <f t="shared" si="24"/>
        <v>0</v>
      </c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29"/>
      <c r="W85" s="29">
        <f t="shared" si="21"/>
        <v>60462</v>
      </c>
      <c r="X85" s="76"/>
      <c r="Y85" s="76">
        <f>1339500-1339500</f>
        <v>0</v>
      </c>
      <c r="Z85" s="76">
        <v>60462</v>
      </c>
      <c r="AA85" s="76"/>
      <c r="AB85" s="76"/>
      <c r="AC85" s="76"/>
      <c r="AD85" s="76"/>
      <c r="AE85" s="29">
        <f t="shared" si="22"/>
        <v>61222</v>
      </c>
      <c r="AF85" s="29">
        <v>61222</v>
      </c>
      <c r="AG85" s="29"/>
      <c r="AH85" s="29">
        <f t="shared" si="23"/>
        <v>200326</v>
      </c>
      <c r="AI85" s="76">
        <v>89928</v>
      </c>
      <c r="AJ85" s="76">
        <v>29970</v>
      </c>
      <c r="AK85" s="76">
        <v>71968</v>
      </c>
      <c r="AL85" s="76">
        <v>8460</v>
      </c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>
        <v>150000</v>
      </c>
      <c r="AZ85" s="76"/>
      <c r="BA85" s="76"/>
      <c r="BB85" s="76"/>
      <c r="BC85" s="76"/>
      <c r="BD85" s="76"/>
      <c r="BE85" s="76"/>
      <c r="BF85" s="76"/>
      <c r="BG85" s="76"/>
      <c r="BH85" s="76"/>
      <c r="BI85" s="29"/>
      <c r="BJ85" s="29"/>
      <c r="BK85" s="29"/>
      <c r="BL85" s="29"/>
      <c r="BM85" s="29">
        <f t="shared" si="19"/>
        <v>472010</v>
      </c>
      <c r="BN85" s="29"/>
      <c r="BO85" s="29"/>
      <c r="BP85" s="29"/>
      <c r="BQ85" s="76"/>
      <c r="BR85" s="76"/>
      <c r="BS85" s="76"/>
      <c r="BT85" s="76"/>
      <c r="BU85" s="76"/>
      <c r="BV85" s="76">
        <f>3700</f>
        <v>3700</v>
      </c>
      <c r="BW85" s="76"/>
      <c r="BX85" s="76"/>
      <c r="BY85" s="76"/>
      <c r="BZ85" s="76"/>
      <c r="CA85" s="76"/>
      <c r="CB85" s="76"/>
      <c r="CC85" s="76"/>
      <c r="CD85" s="76"/>
      <c r="CE85" s="29"/>
      <c r="CF85" s="29"/>
      <c r="CG85" s="29"/>
      <c r="CH85" s="29">
        <f t="shared" si="20"/>
        <v>3700</v>
      </c>
      <c r="CI85" s="76"/>
    </row>
    <row r="86" spans="1:87" ht="66.75" customHeight="1" x14ac:dyDescent="0.8">
      <c r="A86" s="12" t="s">
        <v>281</v>
      </c>
      <c r="B86" s="13" t="s">
        <v>282</v>
      </c>
      <c r="C86" s="76"/>
      <c r="D86" s="76"/>
      <c r="E86" s="76"/>
      <c r="F86" s="76"/>
      <c r="G86" s="76"/>
      <c r="H86" s="76"/>
      <c r="I86" s="76"/>
      <c r="J86" s="76"/>
      <c r="K86" s="29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29"/>
      <c r="W86" s="29">
        <f t="shared" si="21"/>
        <v>75578</v>
      </c>
      <c r="X86" s="76"/>
      <c r="Y86" s="76"/>
      <c r="Z86" s="76">
        <v>75578</v>
      </c>
      <c r="AA86" s="76"/>
      <c r="AB86" s="76"/>
      <c r="AC86" s="76"/>
      <c r="AD86" s="76"/>
      <c r="AE86" s="29">
        <f t="shared" si="22"/>
        <v>0</v>
      </c>
      <c r="AF86" s="29"/>
      <c r="AG86" s="29"/>
      <c r="AH86" s="29">
        <f t="shared" si="23"/>
        <v>436465</v>
      </c>
      <c r="AI86" s="76">
        <v>112410</v>
      </c>
      <c r="AJ86" s="76">
        <v>184815</v>
      </c>
      <c r="AK86" s="76">
        <v>89960</v>
      </c>
      <c r="AL86" s="76">
        <v>49280</v>
      </c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29"/>
      <c r="BJ86" s="29"/>
      <c r="BK86" s="29"/>
      <c r="BL86" s="29"/>
      <c r="BM86" s="29">
        <f t="shared" si="19"/>
        <v>512043</v>
      </c>
      <c r="BN86" s="29"/>
      <c r="BO86" s="29"/>
      <c r="BP86" s="29"/>
      <c r="BQ86" s="76"/>
      <c r="BR86" s="76"/>
      <c r="BS86" s="76"/>
      <c r="BT86" s="76"/>
      <c r="BU86" s="76"/>
      <c r="BV86" s="76">
        <v>18000</v>
      </c>
      <c r="BW86" s="76"/>
      <c r="BX86" s="76"/>
      <c r="BY86" s="76"/>
      <c r="BZ86" s="76"/>
      <c r="CA86" s="76"/>
      <c r="CB86" s="76"/>
      <c r="CC86" s="76"/>
      <c r="CD86" s="76"/>
      <c r="CE86" s="29"/>
      <c r="CF86" s="29"/>
      <c r="CG86" s="29"/>
      <c r="CH86" s="29">
        <f t="shared" si="20"/>
        <v>18000</v>
      </c>
      <c r="CI86" s="76"/>
    </row>
    <row r="87" spans="1:87" ht="63" customHeight="1" x14ac:dyDescent="0.8">
      <c r="A87" s="12" t="s">
        <v>171</v>
      </c>
      <c r="B87" s="13" t="s">
        <v>153</v>
      </c>
      <c r="C87" s="76"/>
      <c r="D87" s="76">
        <f>3061900</f>
        <v>3061900</v>
      </c>
      <c r="E87" s="76"/>
      <c r="F87" s="76"/>
      <c r="G87" s="76"/>
      <c r="H87" s="76"/>
      <c r="I87" s="76"/>
      <c r="J87" s="76"/>
      <c r="K87" s="29">
        <f t="shared" si="24"/>
        <v>0</v>
      </c>
      <c r="L87" s="76"/>
      <c r="M87" s="76"/>
      <c r="N87" s="76"/>
      <c r="O87" s="76">
        <v>399818</v>
      </c>
      <c r="P87" s="76">
        <f>60290</f>
        <v>60290</v>
      </c>
      <c r="Q87" s="76">
        <f>378061</f>
        <v>378061</v>
      </c>
      <c r="R87" s="76"/>
      <c r="S87" s="76"/>
      <c r="T87" s="76"/>
      <c r="U87" s="76"/>
      <c r="V87" s="29"/>
      <c r="W87" s="29">
        <f t="shared" si="21"/>
        <v>581304.38</v>
      </c>
      <c r="X87" s="76">
        <f>415033.38</f>
        <v>415033.38</v>
      </c>
      <c r="Y87" s="76"/>
      <c r="Z87" s="76">
        <v>166271</v>
      </c>
      <c r="AA87" s="76"/>
      <c r="AB87" s="76"/>
      <c r="AC87" s="76"/>
      <c r="AD87" s="76"/>
      <c r="AE87" s="29">
        <f t="shared" si="22"/>
        <v>328544</v>
      </c>
      <c r="AF87" s="29">
        <v>122444</v>
      </c>
      <c r="AG87" s="29">
        <v>206100</v>
      </c>
      <c r="AH87" s="29">
        <f t="shared" si="23"/>
        <v>554633</v>
      </c>
      <c r="AI87" s="76">
        <v>247302</v>
      </c>
      <c r="AJ87" s="76">
        <v>116883</v>
      </c>
      <c r="AK87" s="76">
        <v>161928</v>
      </c>
      <c r="AL87" s="76">
        <v>28520</v>
      </c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>
        <f>1800000</f>
        <v>1800000</v>
      </c>
      <c r="AY87" s="76">
        <v>170000</v>
      </c>
      <c r="AZ87" s="76"/>
      <c r="BA87" s="76"/>
      <c r="BB87" s="76"/>
      <c r="BC87" s="76"/>
      <c r="BD87" s="76"/>
      <c r="BE87" s="76"/>
      <c r="BF87" s="76"/>
      <c r="BG87" s="76"/>
      <c r="BH87" s="76">
        <f>200000</f>
        <v>200000</v>
      </c>
      <c r="BI87" s="29"/>
      <c r="BJ87" s="29"/>
      <c r="BK87" s="29"/>
      <c r="BL87" s="29"/>
      <c r="BM87" s="29">
        <f t="shared" si="19"/>
        <v>7534550.379999999</v>
      </c>
      <c r="BN87" s="29"/>
      <c r="BO87" s="29"/>
      <c r="BP87" s="29"/>
      <c r="BQ87" s="76"/>
      <c r="BR87" s="76"/>
      <c r="BS87" s="76"/>
      <c r="BT87" s="76"/>
      <c r="BU87" s="76"/>
      <c r="BV87" s="76">
        <v>15800</v>
      </c>
      <c r="BW87" s="76"/>
      <c r="BX87" s="76"/>
      <c r="BY87" s="76"/>
      <c r="BZ87" s="76"/>
      <c r="CA87" s="76"/>
      <c r="CB87" s="76"/>
      <c r="CC87" s="76"/>
      <c r="CD87" s="76"/>
      <c r="CE87" s="29"/>
      <c r="CF87" s="29"/>
      <c r="CG87" s="29"/>
      <c r="CH87" s="29">
        <f t="shared" si="20"/>
        <v>15800</v>
      </c>
      <c r="CI87" s="76"/>
    </row>
    <row r="88" spans="1:87" ht="59.25" customHeight="1" x14ac:dyDescent="0.8">
      <c r="A88" s="12" t="s">
        <v>170</v>
      </c>
      <c r="B88" s="13" t="s">
        <v>152</v>
      </c>
      <c r="C88" s="76"/>
      <c r="D88" s="76"/>
      <c r="E88" s="76"/>
      <c r="F88" s="76"/>
      <c r="G88" s="76"/>
      <c r="H88" s="76"/>
      <c r="I88" s="76"/>
      <c r="J88" s="76"/>
      <c r="K88" s="29">
        <f t="shared" si="24"/>
        <v>0</v>
      </c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29"/>
      <c r="W88" s="29">
        <f t="shared" si="21"/>
        <v>45347</v>
      </c>
      <c r="X88" s="76"/>
      <c r="Y88" s="76"/>
      <c r="Z88" s="76">
        <v>45347</v>
      </c>
      <c r="AA88" s="76"/>
      <c r="AB88" s="76"/>
      <c r="AC88" s="76"/>
      <c r="AD88" s="76"/>
      <c r="AE88" s="29">
        <f t="shared" si="22"/>
        <v>122444</v>
      </c>
      <c r="AF88" s="29">
        <v>122444</v>
      </c>
      <c r="AG88" s="29"/>
      <c r="AH88" s="29">
        <f t="shared" si="23"/>
        <v>153446</v>
      </c>
      <c r="AI88" s="76">
        <v>67446</v>
      </c>
      <c r="AJ88" s="76">
        <v>43956</v>
      </c>
      <c r="AK88" s="76">
        <v>35984</v>
      </c>
      <c r="AL88" s="76">
        <v>6060</v>
      </c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>
        <f>40000+60000</f>
        <v>100000</v>
      </c>
      <c r="AZ88" s="76"/>
      <c r="BA88" s="76"/>
      <c r="BB88" s="76"/>
      <c r="BC88" s="76"/>
      <c r="BD88" s="76"/>
      <c r="BE88" s="76"/>
      <c r="BF88" s="76"/>
      <c r="BG88" s="76"/>
      <c r="BH88" s="76"/>
      <c r="BI88" s="29"/>
      <c r="BJ88" s="29"/>
      <c r="BK88" s="29"/>
      <c r="BL88" s="29"/>
      <c r="BM88" s="29">
        <f t="shared" si="19"/>
        <v>421237</v>
      </c>
      <c r="BN88" s="29"/>
      <c r="BO88" s="29"/>
      <c r="BP88" s="29"/>
      <c r="BQ88" s="76"/>
      <c r="BR88" s="76">
        <f>250000</f>
        <v>250000</v>
      </c>
      <c r="BS88" s="76"/>
      <c r="BT88" s="76"/>
      <c r="BU88" s="76"/>
      <c r="BV88" s="76">
        <v>3300</v>
      </c>
      <c r="BW88" s="76"/>
      <c r="BX88" s="76"/>
      <c r="BY88" s="76"/>
      <c r="BZ88" s="76"/>
      <c r="CA88" s="76"/>
      <c r="CB88" s="76"/>
      <c r="CC88" s="76"/>
      <c r="CD88" s="76"/>
      <c r="CE88" s="29"/>
      <c r="CF88" s="29"/>
      <c r="CG88" s="29"/>
      <c r="CH88" s="29">
        <f t="shared" si="20"/>
        <v>253300</v>
      </c>
      <c r="CI88" s="76"/>
    </row>
    <row r="89" spans="1:87" ht="63" customHeight="1" x14ac:dyDescent="0.8">
      <c r="A89" s="12" t="s">
        <v>175</v>
      </c>
      <c r="B89" s="13" t="s">
        <v>227</v>
      </c>
      <c r="C89" s="76"/>
      <c r="D89" s="76"/>
      <c r="E89" s="76"/>
      <c r="F89" s="76"/>
      <c r="G89" s="76"/>
      <c r="H89" s="76"/>
      <c r="I89" s="76"/>
      <c r="J89" s="76"/>
      <c r="K89" s="29">
        <f t="shared" si="24"/>
        <v>0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29"/>
      <c r="W89" s="29">
        <f t="shared" si="21"/>
        <v>45347</v>
      </c>
      <c r="X89" s="76"/>
      <c r="Y89" s="76"/>
      <c r="Z89" s="76">
        <v>45347</v>
      </c>
      <c r="AA89" s="76"/>
      <c r="AB89" s="76"/>
      <c r="AC89" s="76"/>
      <c r="AD89" s="76"/>
      <c r="AE89" s="29">
        <f t="shared" si="22"/>
        <v>0</v>
      </c>
      <c r="AF89" s="29"/>
      <c r="AG89" s="29"/>
      <c r="AH89" s="29">
        <f t="shared" si="23"/>
        <v>169440</v>
      </c>
      <c r="AI89" s="76">
        <v>67446</v>
      </c>
      <c r="AJ89" s="76">
        <v>41958</v>
      </c>
      <c r="AK89" s="76">
        <v>53976</v>
      </c>
      <c r="AL89" s="76">
        <v>6060</v>
      </c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>
        <v>145000</v>
      </c>
      <c r="AZ89" s="76"/>
      <c r="BA89" s="76"/>
      <c r="BB89" s="76"/>
      <c r="BC89" s="76"/>
      <c r="BD89" s="76"/>
      <c r="BE89" s="76"/>
      <c r="BF89" s="76"/>
      <c r="BG89" s="76"/>
      <c r="BH89" s="76">
        <f>500000+700000</f>
        <v>1200000</v>
      </c>
      <c r="BI89" s="29"/>
      <c r="BJ89" s="29"/>
      <c r="BK89" s="29"/>
      <c r="BL89" s="29"/>
      <c r="BM89" s="29">
        <f t="shared" si="19"/>
        <v>1559787</v>
      </c>
      <c r="BN89" s="29"/>
      <c r="BO89" s="29"/>
      <c r="BP89" s="29"/>
      <c r="BQ89" s="76"/>
      <c r="BR89" s="76"/>
      <c r="BS89" s="76"/>
      <c r="BT89" s="76"/>
      <c r="BU89" s="76"/>
      <c r="BV89" s="76">
        <f>3900</f>
        <v>3900</v>
      </c>
      <c r="BW89" s="76"/>
      <c r="BX89" s="76"/>
      <c r="BY89" s="76"/>
      <c r="BZ89" s="76"/>
      <c r="CA89" s="76"/>
      <c r="CB89" s="76"/>
      <c r="CC89" s="76"/>
      <c r="CD89" s="76"/>
      <c r="CE89" s="29"/>
      <c r="CF89" s="29"/>
      <c r="CG89" s="29"/>
      <c r="CH89" s="29">
        <f t="shared" si="20"/>
        <v>3900</v>
      </c>
      <c r="CI89" s="76"/>
    </row>
    <row r="90" spans="1:87" ht="63" customHeight="1" x14ac:dyDescent="0.8">
      <c r="A90" s="12" t="s">
        <v>180</v>
      </c>
      <c r="B90" s="13" t="s">
        <v>158</v>
      </c>
      <c r="C90" s="76"/>
      <c r="D90" s="76"/>
      <c r="E90" s="76"/>
      <c r="F90" s="76"/>
      <c r="G90" s="76"/>
      <c r="H90" s="76"/>
      <c r="I90" s="76"/>
      <c r="J90" s="76"/>
      <c r="K90" s="29">
        <f t="shared" si="24"/>
        <v>0</v>
      </c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29"/>
      <c r="W90" s="29">
        <f t="shared" si="21"/>
        <v>90693</v>
      </c>
      <c r="X90" s="76"/>
      <c r="Y90" s="76"/>
      <c r="Z90" s="76">
        <v>90693</v>
      </c>
      <c r="AA90" s="76"/>
      <c r="AB90" s="76"/>
      <c r="AC90" s="76"/>
      <c r="AD90" s="76"/>
      <c r="AE90" s="29">
        <f t="shared" si="22"/>
        <v>489776</v>
      </c>
      <c r="AF90" s="29">
        <v>489776</v>
      </c>
      <c r="AG90" s="29"/>
      <c r="AH90" s="29">
        <f t="shared" si="23"/>
        <v>350314</v>
      </c>
      <c r="AI90" s="76">
        <v>134892</v>
      </c>
      <c r="AJ90" s="76">
        <v>89910</v>
      </c>
      <c r="AK90" s="76">
        <v>107952</v>
      </c>
      <c r="AL90" s="76">
        <v>17560</v>
      </c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>
        <v>205000</v>
      </c>
      <c r="AZ90" s="76">
        <f>45000</f>
        <v>45000</v>
      </c>
      <c r="BA90" s="76"/>
      <c r="BB90" s="76"/>
      <c r="BC90" s="76">
        <v>1650000</v>
      </c>
      <c r="BD90" s="76"/>
      <c r="BE90" s="76"/>
      <c r="BF90" s="76"/>
      <c r="BG90" s="76"/>
      <c r="BH90" s="76">
        <v>1590000</v>
      </c>
      <c r="BI90" s="29"/>
      <c r="BJ90" s="29"/>
      <c r="BK90" s="29"/>
      <c r="BL90" s="29"/>
      <c r="BM90" s="29">
        <f t="shared" si="19"/>
        <v>4420783</v>
      </c>
      <c r="BN90" s="29"/>
      <c r="BO90" s="29"/>
      <c r="BP90" s="29"/>
      <c r="BQ90" s="76"/>
      <c r="BR90" s="76"/>
      <c r="BS90" s="76"/>
      <c r="BT90" s="76"/>
      <c r="BU90" s="76"/>
      <c r="BV90" s="76">
        <v>13800</v>
      </c>
      <c r="BW90" s="76"/>
      <c r="BX90" s="76"/>
      <c r="BY90" s="76"/>
      <c r="BZ90" s="76"/>
      <c r="CA90" s="76"/>
      <c r="CB90" s="76"/>
      <c r="CC90" s="76"/>
      <c r="CD90" s="76"/>
      <c r="CE90" s="29"/>
      <c r="CF90" s="29"/>
      <c r="CG90" s="29"/>
      <c r="CH90" s="29">
        <f t="shared" si="20"/>
        <v>13800</v>
      </c>
      <c r="CI90" s="76"/>
    </row>
    <row r="91" spans="1:87" ht="63" customHeight="1" x14ac:dyDescent="0.8">
      <c r="A91" s="12" t="s">
        <v>172</v>
      </c>
      <c r="B91" s="13" t="s">
        <v>154</v>
      </c>
      <c r="C91" s="76"/>
      <c r="D91" s="76"/>
      <c r="E91" s="76"/>
      <c r="F91" s="76"/>
      <c r="G91" s="76"/>
      <c r="H91" s="76"/>
      <c r="I91" s="76"/>
      <c r="J91" s="76"/>
      <c r="K91" s="29">
        <f t="shared" si="24"/>
        <v>0</v>
      </c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29"/>
      <c r="W91" s="29">
        <f t="shared" si="21"/>
        <v>60462</v>
      </c>
      <c r="X91" s="76"/>
      <c r="Y91" s="76"/>
      <c r="Z91" s="76">
        <v>60462</v>
      </c>
      <c r="AA91" s="76"/>
      <c r="AB91" s="76"/>
      <c r="AC91" s="76"/>
      <c r="AD91" s="76"/>
      <c r="AE91" s="29">
        <f t="shared" si="22"/>
        <v>61222</v>
      </c>
      <c r="AF91" s="29">
        <v>61222</v>
      </c>
      <c r="AG91" s="29"/>
      <c r="AH91" s="29">
        <f t="shared" si="23"/>
        <v>252189</v>
      </c>
      <c r="AI91" s="76">
        <v>89928</v>
      </c>
      <c r="AJ91" s="76">
        <v>82917</v>
      </c>
      <c r="AK91" s="76">
        <v>71968</v>
      </c>
      <c r="AL91" s="76">
        <v>7376</v>
      </c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>
        <f>900000</f>
        <v>900000</v>
      </c>
      <c r="AY91" s="76">
        <f>65000+30000</f>
        <v>95000</v>
      </c>
      <c r="AZ91" s="76"/>
      <c r="BA91" s="76"/>
      <c r="BB91" s="76"/>
      <c r="BC91" s="76"/>
      <c r="BD91" s="76"/>
      <c r="BE91" s="76"/>
      <c r="BF91" s="76"/>
      <c r="BG91" s="76"/>
      <c r="BH91" s="76"/>
      <c r="BI91" s="29"/>
      <c r="BJ91" s="29"/>
      <c r="BK91" s="29"/>
      <c r="BL91" s="29"/>
      <c r="BM91" s="29">
        <f t="shared" si="19"/>
        <v>1368873</v>
      </c>
      <c r="BN91" s="29"/>
      <c r="BO91" s="29"/>
      <c r="BP91" s="29"/>
      <c r="BQ91" s="76"/>
      <c r="BR91" s="76"/>
      <c r="BS91" s="76"/>
      <c r="BT91" s="76"/>
      <c r="BU91" s="76"/>
      <c r="BV91" s="76">
        <v>7700</v>
      </c>
      <c r="BW91" s="76"/>
      <c r="BX91" s="76"/>
      <c r="BY91" s="76"/>
      <c r="BZ91" s="76"/>
      <c r="CA91" s="76"/>
      <c r="CB91" s="76"/>
      <c r="CC91" s="76"/>
      <c r="CD91" s="76"/>
      <c r="CE91" s="29"/>
      <c r="CF91" s="29"/>
      <c r="CG91" s="29"/>
      <c r="CH91" s="29">
        <f t="shared" si="20"/>
        <v>7700</v>
      </c>
      <c r="CI91" s="76"/>
    </row>
    <row r="92" spans="1:87" ht="59.25" customHeight="1" x14ac:dyDescent="0.8">
      <c r="A92" s="12" t="s">
        <v>179</v>
      </c>
      <c r="B92" s="13" t="s">
        <v>157</v>
      </c>
      <c r="C92" s="76"/>
      <c r="D92" s="76"/>
      <c r="E92" s="76"/>
      <c r="F92" s="76"/>
      <c r="G92" s="76"/>
      <c r="H92" s="76"/>
      <c r="I92" s="76"/>
      <c r="J92" s="76"/>
      <c r="K92" s="29">
        <f t="shared" si="24"/>
        <v>0</v>
      </c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29"/>
      <c r="W92" s="29">
        <f t="shared" si="21"/>
        <v>30231</v>
      </c>
      <c r="X92" s="76"/>
      <c r="Y92" s="76"/>
      <c r="Z92" s="76">
        <v>30231</v>
      </c>
      <c r="AA92" s="76"/>
      <c r="AB92" s="76"/>
      <c r="AC92" s="76"/>
      <c r="AD92" s="76"/>
      <c r="AE92" s="29">
        <f t="shared" si="22"/>
        <v>0</v>
      </c>
      <c r="AF92" s="29"/>
      <c r="AG92" s="29"/>
      <c r="AH92" s="29">
        <f t="shared" si="23"/>
        <v>114606</v>
      </c>
      <c r="AI92" s="76">
        <v>44964</v>
      </c>
      <c r="AJ92" s="76">
        <v>29970</v>
      </c>
      <c r="AK92" s="76">
        <v>35984</v>
      </c>
      <c r="AL92" s="76">
        <v>3688</v>
      </c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>
        <f>65000+20000</f>
        <v>85000</v>
      </c>
      <c r="AZ92" s="76"/>
      <c r="BA92" s="76"/>
      <c r="BB92" s="76"/>
      <c r="BC92" s="76"/>
      <c r="BD92" s="76"/>
      <c r="BE92" s="76"/>
      <c r="BF92" s="76"/>
      <c r="BG92" s="76">
        <f>1500000</f>
        <v>1500000</v>
      </c>
      <c r="BH92" s="76">
        <f>500000+600000</f>
        <v>1100000</v>
      </c>
      <c r="BI92" s="29"/>
      <c r="BJ92" s="29"/>
      <c r="BK92" s="29"/>
      <c r="BL92" s="29"/>
      <c r="BM92" s="29">
        <f t="shared" si="19"/>
        <v>2829837</v>
      </c>
      <c r="BN92" s="29"/>
      <c r="BO92" s="29"/>
      <c r="BP92" s="29"/>
      <c r="BQ92" s="76">
        <v>1000000</v>
      </c>
      <c r="BR92" s="76"/>
      <c r="BS92" s="76"/>
      <c r="BT92" s="76"/>
      <c r="BU92" s="76"/>
      <c r="BV92" s="76">
        <v>2800</v>
      </c>
      <c r="BW92" s="76"/>
      <c r="BX92" s="76"/>
      <c r="BY92" s="76"/>
      <c r="BZ92" s="76"/>
      <c r="CA92" s="76"/>
      <c r="CB92" s="76"/>
      <c r="CC92" s="76"/>
      <c r="CD92" s="76"/>
      <c r="CE92" s="29"/>
      <c r="CF92" s="29"/>
      <c r="CG92" s="29"/>
      <c r="CH92" s="29">
        <f t="shared" si="20"/>
        <v>1002800</v>
      </c>
      <c r="CI92" s="76"/>
    </row>
    <row r="93" spans="1:87" ht="63" customHeight="1" x14ac:dyDescent="0.8">
      <c r="A93" s="12" t="s">
        <v>176</v>
      </c>
      <c r="B93" s="13" t="s">
        <v>260</v>
      </c>
      <c r="C93" s="76"/>
      <c r="D93" s="76"/>
      <c r="E93" s="76"/>
      <c r="F93" s="76"/>
      <c r="G93" s="76"/>
      <c r="H93" s="76"/>
      <c r="I93" s="76"/>
      <c r="J93" s="76"/>
      <c r="K93" s="29">
        <f t="shared" si="24"/>
        <v>0</v>
      </c>
      <c r="L93" s="76"/>
      <c r="M93" s="76"/>
      <c r="N93" s="76"/>
      <c r="O93" s="76">
        <v>425822</v>
      </c>
      <c r="P93" s="76">
        <f>64212</f>
        <v>64212</v>
      </c>
      <c r="Q93" s="76"/>
      <c r="R93" s="76"/>
      <c r="S93" s="76"/>
      <c r="T93" s="76"/>
      <c r="U93" s="76"/>
      <c r="V93" s="29"/>
      <c r="W93" s="29">
        <f t="shared" si="21"/>
        <v>3650850</v>
      </c>
      <c r="X93" s="76">
        <v>3545041</v>
      </c>
      <c r="Y93" s="76"/>
      <c r="Z93" s="76">
        <v>105809</v>
      </c>
      <c r="AA93" s="76"/>
      <c r="AB93" s="76"/>
      <c r="AC93" s="76"/>
      <c r="AD93" s="76"/>
      <c r="AE93" s="29">
        <f t="shared" si="22"/>
        <v>153055</v>
      </c>
      <c r="AF93" s="29">
        <v>153055</v>
      </c>
      <c r="AG93" s="29"/>
      <c r="AH93" s="29">
        <f t="shared" si="23"/>
        <v>318541</v>
      </c>
      <c r="AI93" s="76">
        <v>157374</v>
      </c>
      <c r="AJ93" s="76">
        <v>116883</v>
      </c>
      <c r="AK93" s="76">
        <v>35984</v>
      </c>
      <c r="AL93" s="76">
        <v>8300</v>
      </c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>
        <f>40000-20000</f>
        <v>20000</v>
      </c>
      <c r="AZ93" s="76">
        <f>88000</f>
        <v>88000</v>
      </c>
      <c r="BA93" s="76"/>
      <c r="BB93" s="76"/>
      <c r="BC93" s="76"/>
      <c r="BD93" s="76"/>
      <c r="BE93" s="76"/>
      <c r="BF93" s="76"/>
      <c r="BG93" s="76"/>
      <c r="BH93" s="76">
        <v>1650000</v>
      </c>
      <c r="BI93" s="29"/>
      <c r="BJ93" s="29"/>
      <c r="BK93" s="29"/>
      <c r="BL93" s="29"/>
      <c r="BM93" s="29">
        <f t="shared" si="19"/>
        <v>6370480</v>
      </c>
      <c r="BN93" s="29"/>
      <c r="BO93" s="29"/>
      <c r="BP93" s="29"/>
      <c r="BQ93" s="76"/>
      <c r="BR93" s="76"/>
      <c r="BS93" s="76"/>
      <c r="BT93" s="76"/>
      <c r="BU93" s="76"/>
      <c r="BV93" s="76">
        <f>9400</f>
        <v>9400</v>
      </c>
      <c r="BW93" s="76"/>
      <c r="BX93" s="76"/>
      <c r="BY93" s="76"/>
      <c r="BZ93" s="76"/>
      <c r="CA93" s="76"/>
      <c r="CB93" s="76"/>
      <c r="CC93" s="76"/>
      <c r="CD93" s="76"/>
      <c r="CE93" s="29"/>
      <c r="CF93" s="29"/>
      <c r="CG93" s="29"/>
      <c r="CH93" s="29">
        <f t="shared" si="20"/>
        <v>9400</v>
      </c>
      <c r="CI93" s="76"/>
    </row>
    <row r="94" spans="1:87" ht="119.25" customHeight="1" x14ac:dyDescent="0.8">
      <c r="A94" s="12" t="s">
        <v>174</v>
      </c>
      <c r="B94" s="13" t="s">
        <v>220</v>
      </c>
      <c r="C94" s="76"/>
      <c r="D94" s="76"/>
      <c r="E94" s="76"/>
      <c r="F94" s="76"/>
      <c r="G94" s="76"/>
      <c r="H94" s="76"/>
      <c r="I94" s="76"/>
      <c r="J94" s="76"/>
      <c r="K94" s="29">
        <f t="shared" si="24"/>
        <v>0</v>
      </c>
      <c r="L94" s="76"/>
      <c r="M94" s="76"/>
      <c r="N94" s="76"/>
      <c r="O94" s="76"/>
      <c r="P94" s="76"/>
      <c r="Q94" s="76">
        <v>70000</v>
      </c>
      <c r="R94" s="76"/>
      <c r="S94" s="76"/>
      <c r="T94" s="76"/>
      <c r="U94" s="76"/>
      <c r="V94" s="29"/>
      <c r="W94" s="29">
        <f t="shared" si="21"/>
        <v>1384847</v>
      </c>
      <c r="X94" s="76"/>
      <c r="Y94" s="76">
        <f>1339500</f>
        <v>1339500</v>
      </c>
      <c r="Z94" s="76">
        <v>45347</v>
      </c>
      <c r="AA94" s="76"/>
      <c r="AB94" s="76"/>
      <c r="AC94" s="76"/>
      <c r="AD94" s="76"/>
      <c r="AE94" s="29">
        <f t="shared" si="22"/>
        <v>0</v>
      </c>
      <c r="AF94" s="29"/>
      <c r="AG94" s="29"/>
      <c r="AH94" s="29">
        <f t="shared" si="23"/>
        <v>201915</v>
      </c>
      <c r="AI94" s="76">
        <v>67446</v>
      </c>
      <c r="AJ94" s="76">
        <v>66933</v>
      </c>
      <c r="AK94" s="76">
        <v>53976</v>
      </c>
      <c r="AL94" s="76">
        <v>13560</v>
      </c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>
        <v>200000</v>
      </c>
      <c r="AZ94" s="76"/>
      <c r="BA94" s="76"/>
      <c r="BB94" s="76"/>
      <c r="BC94" s="76"/>
      <c r="BD94" s="76"/>
      <c r="BE94" s="76"/>
      <c r="BF94" s="76"/>
      <c r="BG94" s="76"/>
      <c r="BH94" s="76"/>
      <c r="BI94" s="29"/>
      <c r="BJ94" s="29"/>
      <c r="BK94" s="29"/>
      <c r="BL94" s="29"/>
      <c r="BM94" s="29">
        <f t="shared" si="19"/>
        <v>1856762</v>
      </c>
      <c r="BN94" s="29"/>
      <c r="BO94" s="29"/>
      <c r="BP94" s="29"/>
      <c r="BQ94" s="76"/>
      <c r="BR94" s="76"/>
      <c r="BS94" s="76"/>
      <c r="BT94" s="76"/>
      <c r="BU94" s="76"/>
      <c r="BV94" s="76">
        <f>7300</f>
        <v>7300</v>
      </c>
      <c r="BW94" s="76"/>
      <c r="BX94" s="76"/>
      <c r="BY94" s="76"/>
      <c r="BZ94" s="76"/>
      <c r="CA94" s="76"/>
      <c r="CB94" s="76"/>
      <c r="CC94" s="76"/>
      <c r="CD94" s="76"/>
      <c r="CE94" s="29"/>
      <c r="CF94" s="29"/>
      <c r="CG94" s="29"/>
      <c r="CH94" s="29">
        <f t="shared" si="20"/>
        <v>7300</v>
      </c>
      <c r="CI94" s="76"/>
    </row>
    <row r="95" spans="1:87" ht="59.25" customHeight="1" x14ac:dyDescent="0.8">
      <c r="A95" s="12" t="s">
        <v>167</v>
      </c>
      <c r="B95" s="13" t="s">
        <v>149</v>
      </c>
      <c r="C95" s="76"/>
      <c r="D95" s="76"/>
      <c r="E95" s="76"/>
      <c r="F95" s="76"/>
      <c r="G95" s="76"/>
      <c r="H95" s="76"/>
      <c r="I95" s="76"/>
      <c r="J95" s="76"/>
      <c r="K95" s="29">
        <f t="shared" si="24"/>
        <v>0</v>
      </c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29"/>
      <c r="W95" s="29">
        <f t="shared" si="21"/>
        <v>45347</v>
      </c>
      <c r="X95" s="76"/>
      <c r="Y95" s="76"/>
      <c r="Z95" s="76">
        <v>45347</v>
      </c>
      <c r="AA95" s="76"/>
      <c r="AB95" s="76"/>
      <c r="AC95" s="76"/>
      <c r="AD95" s="76"/>
      <c r="AE95" s="29">
        <f t="shared" si="22"/>
        <v>0</v>
      </c>
      <c r="AF95" s="29"/>
      <c r="AG95" s="29"/>
      <c r="AH95" s="29">
        <f t="shared" si="23"/>
        <v>163605</v>
      </c>
      <c r="AI95" s="76">
        <v>67446</v>
      </c>
      <c r="AJ95" s="76">
        <v>36963</v>
      </c>
      <c r="AK95" s="76">
        <v>53976</v>
      </c>
      <c r="AL95" s="76">
        <v>5220</v>
      </c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>
        <f>395000-225000</f>
        <v>170000</v>
      </c>
      <c r="AZ95" s="76"/>
      <c r="BA95" s="76"/>
      <c r="BB95" s="76"/>
      <c r="BC95" s="76"/>
      <c r="BD95" s="76"/>
      <c r="BE95" s="76"/>
      <c r="BF95" s="76"/>
      <c r="BG95" s="76"/>
      <c r="BH95" s="76">
        <f>800000</f>
        <v>800000</v>
      </c>
      <c r="BI95" s="29"/>
      <c r="BJ95" s="29"/>
      <c r="BK95" s="29"/>
      <c r="BL95" s="29"/>
      <c r="BM95" s="29">
        <f t="shared" si="19"/>
        <v>1178952</v>
      </c>
      <c r="BN95" s="29"/>
      <c r="BO95" s="29"/>
      <c r="BP95" s="29"/>
      <c r="BQ95" s="76"/>
      <c r="BR95" s="76"/>
      <c r="BS95" s="76"/>
      <c r="BT95" s="76"/>
      <c r="BU95" s="76"/>
      <c r="BV95" s="76">
        <f>3700</f>
        <v>3700</v>
      </c>
      <c r="BW95" s="76"/>
      <c r="BX95" s="76"/>
      <c r="BY95" s="76"/>
      <c r="BZ95" s="76"/>
      <c r="CA95" s="76"/>
      <c r="CB95" s="76"/>
      <c r="CC95" s="76"/>
      <c r="CD95" s="76"/>
      <c r="CE95" s="29"/>
      <c r="CF95" s="29"/>
      <c r="CG95" s="29"/>
      <c r="CH95" s="29">
        <f t="shared" si="20"/>
        <v>3700</v>
      </c>
      <c r="CI95" s="76"/>
    </row>
    <row r="96" spans="1:87" ht="55.5" customHeight="1" x14ac:dyDescent="0.8">
      <c r="A96" s="12" t="s">
        <v>177</v>
      </c>
      <c r="B96" s="13" t="s">
        <v>155</v>
      </c>
      <c r="C96" s="76"/>
      <c r="D96" s="76"/>
      <c r="E96" s="76"/>
      <c r="F96" s="76"/>
      <c r="G96" s="76"/>
      <c r="H96" s="76"/>
      <c r="I96" s="76"/>
      <c r="J96" s="76"/>
      <c r="K96" s="29">
        <f t="shared" si="24"/>
        <v>0</v>
      </c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29"/>
      <c r="W96" s="29">
        <f t="shared" si="21"/>
        <v>90693</v>
      </c>
      <c r="X96" s="76"/>
      <c r="Y96" s="76"/>
      <c r="Z96" s="76">
        <v>90693</v>
      </c>
      <c r="AA96" s="76"/>
      <c r="AB96" s="76"/>
      <c r="AC96" s="76"/>
      <c r="AD96" s="76"/>
      <c r="AE96" s="29">
        <f t="shared" si="22"/>
        <v>948941</v>
      </c>
      <c r="AF96" s="29">
        <v>948941</v>
      </c>
      <c r="AG96" s="29"/>
      <c r="AH96" s="29">
        <f t="shared" si="23"/>
        <v>364741</v>
      </c>
      <c r="AI96" s="76">
        <v>134892</v>
      </c>
      <c r="AJ96" s="76">
        <v>94905</v>
      </c>
      <c r="AK96" s="76">
        <v>125944</v>
      </c>
      <c r="AL96" s="76">
        <v>9000</v>
      </c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>
        <f>425000-75000</f>
        <v>350000</v>
      </c>
      <c r="AZ96" s="76"/>
      <c r="BA96" s="76"/>
      <c r="BB96" s="76"/>
      <c r="BC96" s="76"/>
      <c r="BD96" s="76"/>
      <c r="BE96" s="76"/>
      <c r="BF96" s="76"/>
      <c r="BG96" s="76"/>
      <c r="BH96" s="76"/>
      <c r="BI96" s="29"/>
      <c r="BJ96" s="29"/>
      <c r="BK96" s="29"/>
      <c r="BL96" s="29">
        <f>250000</f>
        <v>250000</v>
      </c>
      <c r="BM96" s="29">
        <f t="shared" si="19"/>
        <v>2004375</v>
      </c>
      <c r="BN96" s="29"/>
      <c r="BO96" s="29"/>
      <c r="BP96" s="29"/>
      <c r="BQ96" s="76"/>
      <c r="BR96" s="76">
        <v>150000</v>
      </c>
      <c r="BS96" s="76"/>
      <c r="BT96" s="76"/>
      <c r="BU96" s="76"/>
      <c r="BV96" s="76">
        <f>11600</f>
        <v>11600</v>
      </c>
      <c r="BW96" s="76"/>
      <c r="BX96" s="76"/>
      <c r="BY96" s="76"/>
      <c r="BZ96" s="76"/>
      <c r="CA96" s="76"/>
      <c r="CB96" s="76"/>
      <c r="CC96" s="76"/>
      <c r="CD96" s="76"/>
      <c r="CE96" s="29"/>
      <c r="CF96" s="29"/>
      <c r="CG96" s="29"/>
      <c r="CH96" s="29">
        <f t="shared" si="20"/>
        <v>161600</v>
      </c>
      <c r="CI96" s="76"/>
    </row>
    <row r="97" spans="1:87" ht="59.25" customHeight="1" x14ac:dyDescent="0.8">
      <c r="A97" s="12" t="s">
        <v>255</v>
      </c>
      <c r="B97" s="13" t="s">
        <v>256</v>
      </c>
      <c r="C97" s="76"/>
      <c r="D97" s="76"/>
      <c r="E97" s="76"/>
      <c r="F97" s="76"/>
      <c r="G97" s="76"/>
      <c r="H97" s="76"/>
      <c r="I97" s="76"/>
      <c r="J97" s="76"/>
      <c r="K97" s="29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29"/>
      <c r="W97" s="29">
        <f t="shared" si="21"/>
        <v>790674</v>
      </c>
      <c r="X97" s="76"/>
      <c r="Y97" s="76">
        <v>669750</v>
      </c>
      <c r="Z97" s="76">
        <v>120924</v>
      </c>
      <c r="AA97" s="76"/>
      <c r="AB97" s="76"/>
      <c r="AC97" s="76"/>
      <c r="AD97" s="76"/>
      <c r="AE97" s="29">
        <f t="shared" si="22"/>
        <v>61222</v>
      </c>
      <c r="AF97" s="29">
        <v>61222</v>
      </c>
      <c r="AG97" s="29"/>
      <c r="AH97" s="29">
        <f t="shared" si="23"/>
        <v>386409</v>
      </c>
      <c r="AI97" s="76">
        <v>179856</v>
      </c>
      <c r="AJ97" s="76">
        <v>142857</v>
      </c>
      <c r="AK97" s="76">
        <v>53976</v>
      </c>
      <c r="AL97" s="76">
        <v>9720</v>
      </c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>
        <f>400000</f>
        <v>400000</v>
      </c>
      <c r="AY97" s="76">
        <v>215000</v>
      </c>
      <c r="AZ97" s="76"/>
      <c r="BA97" s="76"/>
      <c r="BB97" s="76"/>
      <c r="BC97" s="76"/>
      <c r="BD97" s="76"/>
      <c r="BE97" s="76"/>
      <c r="BF97" s="76"/>
      <c r="BG97" s="76"/>
      <c r="BH97" s="76"/>
      <c r="BI97" s="29"/>
      <c r="BJ97" s="29"/>
      <c r="BK97" s="29"/>
      <c r="BL97" s="29"/>
      <c r="BM97" s="29">
        <f t="shared" si="19"/>
        <v>1853305</v>
      </c>
      <c r="BN97" s="29"/>
      <c r="BO97" s="29"/>
      <c r="BP97" s="29"/>
      <c r="BQ97" s="76"/>
      <c r="BR97" s="76"/>
      <c r="BS97" s="76"/>
      <c r="BT97" s="76"/>
      <c r="BU97" s="76"/>
      <c r="BV97" s="76">
        <v>13200</v>
      </c>
      <c r="BW97" s="76"/>
      <c r="BX97" s="76"/>
      <c r="BY97" s="76"/>
      <c r="BZ97" s="76"/>
      <c r="CA97" s="76"/>
      <c r="CB97" s="76"/>
      <c r="CC97" s="76"/>
      <c r="CD97" s="76"/>
      <c r="CE97" s="29"/>
      <c r="CF97" s="29"/>
      <c r="CG97" s="29"/>
      <c r="CH97" s="29">
        <f t="shared" si="20"/>
        <v>13200</v>
      </c>
      <c r="CI97" s="76"/>
    </row>
    <row r="98" spans="1:87" ht="63" customHeight="1" x14ac:dyDescent="0.8">
      <c r="A98" s="12" t="s">
        <v>178</v>
      </c>
      <c r="B98" s="13" t="s">
        <v>156</v>
      </c>
      <c r="C98" s="76"/>
      <c r="D98" s="76"/>
      <c r="E98" s="76"/>
      <c r="F98" s="76"/>
      <c r="G98" s="76"/>
      <c r="H98" s="76"/>
      <c r="I98" s="76"/>
      <c r="J98" s="76"/>
      <c r="K98" s="29">
        <f t="shared" si="24"/>
        <v>0</v>
      </c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29"/>
      <c r="W98" s="29">
        <f t="shared" si="21"/>
        <v>730212</v>
      </c>
      <c r="X98" s="76"/>
      <c r="Y98" s="76">
        <v>669750</v>
      </c>
      <c r="Z98" s="76">
        <v>60462</v>
      </c>
      <c r="AA98" s="76"/>
      <c r="AB98" s="76"/>
      <c r="AC98" s="76"/>
      <c r="AD98" s="76"/>
      <c r="AE98" s="29">
        <f t="shared" si="22"/>
        <v>0</v>
      </c>
      <c r="AF98" s="29"/>
      <c r="AG98" s="29"/>
      <c r="AH98" s="29">
        <f t="shared" si="23"/>
        <v>239785</v>
      </c>
      <c r="AI98" s="76">
        <v>89928</v>
      </c>
      <c r="AJ98" s="76">
        <v>70929</v>
      </c>
      <c r="AK98" s="76">
        <v>71968</v>
      </c>
      <c r="AL98" s="76">
        <v>6960</v>
      </c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>
        <f>350000</f>
        <v>350000</v>
      </c>
      <c r="AY98" s="76">
        <v>390000</v>
      </c>
      <c r="AZ98" s="76"/>
      <c r="BA98" s="76"/>
      <c r="BB98" s="76"/>
      <c r="BC98" s="76"/>
      <c r="BD98" s="76"/>
      <c r="BE98" s="76"/>
      <c r="BF98" s="76"/>
      <c r="BG98" s="76"/>
      <c r="BH98" s="76"/>
      <c r="BI98" s="29"/>
      <c r="BJ98" s="29"/>
      <c r="BK98" s="29"/>
      <c r="BL98" s="29"/>
      <c r="BM98" s="29">
        <f t="shared" si="19"/>
        <v>1709997</v>
      </c>
      <c r="BN98" s="29"/>
      <c r="BO98" s="29"/>
      <c r="BP98" s="29"/>
      <c r="BQ98" s="76"/>
      <c r="BR98" s="76"/>
      <c r="BS98" s="76"/>
      <c r="BT98" s="76"/>
      <c r="BU98" s="76"/>
      <c r="BV98" s="76">
        <f>5300</f>
        <v>5300</v>
      </c>
      <c r="BW98" s="76"/>
      <c r="BX98" s="76"/>
      <c r="BY98" s="76"/>
      <c r="BZ98" s="76"/>
      <c r="CA98" s="76"/>
      <c r="CB98" s="76"/>
      <c r="CC98" s="76"/>
      <c r="CD98" s="76"/>
      <c r="CE98" s="29"/>
      <c r="CF98" s="29"/>
      <c r="CG98" s="29"/>
      <c r="CH98" s="29">
        <f t="shared" si="20"/>
        <v>5300</v>
      </c>
      <c r="CI98" s="76"/>
    </row>
    <row r="99" spans="1:87" ht="55.5" customHeight="1" x14ac:dyDescent="0.8">
      <c r="A99" s="12" t="s">
        <v>169</v>
      </c>
      <c r="B99" s="13" t="s">
        <v>151</v>
      </c>
      <c r="C99" s="76"/>
      <c r="D99" s="76"/>
      <c r="E99" s="76"/>
      <c r="F99" s="76"/>
      <c r="G99" s="76"/>
      <c r="H99" s="76"/>
      <c r="I99" s="76"/>
      <c r="J99" s="76"/>
      <c r="K99" s="29">
        <f t="shared" si="24"/>
        <v>0</v>
      </c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29"/>
      <c r="W99" s="29">
        <f t="shared" si="21"/>
        <v>30231</v>
      </c>
      <c r="X99" s="76"/>
      <c r="Y99" s="76"/>
      <c r="Z99" s="76">
        <v>30231</v>
      </c>
      <c r="AA99" s="76"/>
      <c r="AB99" s="76"/>
      <c r="AC99" s="76"/>
      <c r="AD99" s="76"/>
      <c r="AE99" s="29">
        <f t="shared" si="22"/>
        <v>30611</v>
      </c>
      <c r="AF99" s="29">
        <v>30611</v>
      </c>
      <c r="AG99" s="29"/>
      <c r="AH99" s="29">
        <f t="shared" si="23"/>
        <v>124628</v>
      </c>
      <c r="AI99" s="76">
        <v>44964</v>
      </c>
      <c r="AJ99" s="76">
        <v>39960</v>
      </c>
      <c r="AK99" s="76">
        <v>35984</v>
      </c>
      <c r="AL99" s="76">
        <v>3720</v>
      </c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>
        <f>250000</f>
        <v>250000</v>
      </c>
      <c r="AY99" s="76">
        <v>17500</v>
      </c>
      <c r="AZ99" s="76"/>
      <c r="BA99" s="76"/>
      <c r="BB99" s="76"/>
      <c r="BC99" s="76"/>
      <c r="BD99" s="76"/>
      <c r="BE99" s="76"/>
      <c r="BF99" s="76"/>
      <c r="BG99" s="76"/>
      <c r="BH99" s="76"/>
      <c r="BI99" s="29"/>
      <c r="BJ99" s="29"/>
      <c r="BK99" s="29"/>
      <c r="BL99" s="29"/>
      <c r="BM99" s="29">
        <f t="shared" si="19"/>
        <v>452970</v>
      </c>
      <c r="BN99" s="29"/>
      <c r="BO99" s="29"/>
      <c r="BP99" s="29"/>
      <c r="BQ99" s="76"/>
      <c r="BR99" s="76"/>
      <c r="BS99" s="76"/>
      <c r="BT99" s="76"/>
      <c r="BU99" s="76"/>
      <c r="BV99" s="76">
        <v>3500</v>
      </c>
      <c r="BW99" s="76"/>
      <c r="BX99" s="76"/>
      <c r="BY99" s="76"/>
      <c r="BZ99" s="76"/>
      <c r="CA99" s="76"/>
      <c r="CB99" s="76"/>
      <c r="CC99" s="76"/>
      <c r="CD99" s="76"/>
      <c r="CE99" s="29"/>
      <c r="CF99" s="29"/>
      <c r="CG99" s="29"/>
      <c r="CH99" s="29">
        <f t="shared" si="20"/>
        <v>3500</v>
      </c>
      <c r="CI99" s="76"/>
    </row>
    <row r="100" spans="1:87" ht="63" customHeight="1" x14ac:dyDescent="0.8">
      <c r="A100" s="12" t="s">
        <v>168</v>
      </c>
      <c r="B100" s="13" t="s">
        <v>150</v>
      </c>
      <c r="C100" s="76"/>
      <c r="D100" s="76"/>
      <c r="E100" s="76"/>
      <c r="F100" s="76"/>
      <c r="G100" s="76"/>
      <c r="H100" s="76"/>
      <c r="I100" s="76"/>
      <c r="J100" s="76"/>
      <c r="K100" s="29">
        <f t="shared" si="24"/>
        <v>0</v>
      </c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29"/>
      <c r="W100" s="29">
        <f t="shared" si="21"/>
        <v>1354616</v>
      </c>
      <c r="X100" s="76"/>
      <c r="Y100" s="76">
        <f>1339500</f>
        <v>1339500</v>
      </c>
      <c r="Z100" s="76">
        <v>15116</v>
      </c>
      <c r="AA100" s="76"/>
      <c r="AB100" s="76"/>
      <c r="AC100" s="76"/>
      <c r="AD100" s="76"/>
      <c r="AE100" s="29">
        <f t="shared" si="22"/>
        <v>0</v>
      </c>
      <c r="AF100" s="29"/>
      <c r="AG100" s="29"/>
      <c r="AH100" s="29">
        <f t="shared" si="23"/>
        <v>100225</v>
      </c>
      <c r="AI100" s="76">
        <v>44964</v>
      </c>
      <c r="AJ100" s="76">
        <v>30969</v>
      </c>
      <c r="AK100" s="76">
        <v>17992</v>
      </c>
      <c r="AL100" s="76">
        <v>6300</v>
      </c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>
        <v>270000</v>
      </c>
      <c r="AZ100" s="76"/>
      <c r="BA100" s="76"/>
      <c r="BB100" s="76"/>
      <c r="BC100" s="76"/>
      <c r="BD100" s="76"/>
      <c r="BE100" s="76"/>
      <c r="BF100" s="76"/>
      <c r="BG100" s="76"/>
      <c r="BH100" s="76"/>
      <c r="BI100" s="29"/>
      <c r="BJ100" s="29"/>
      <c r="BK100" s="29"/>
      <c r="BL100" s="29"/>
      <c r="BM100" s="29">
        <f t="shared" si="19"/>
        <v>1724841</v>
      </c>
      <c r="BN100" s="29"/>
      <c r="BO100" s="29"/>
      <c r="BP100" s="29"/>
      <c r="BQ100" s="76"/>
      <c r="BR100" s="76">
        <v>2500000</v>
      </c>
      <c r="BS100" s="76"/>
      <c r="BT100" s="76"/>
      <c r="BU100" s="76"/>
      <c r="BV100" s="76">
        <v>5100</v>
      </c>
      <c r="BW100" s="76"/>
      <c r="BX100" s="76"/>
      <c r="BY100" s="76"/>
      <c r="BZ100" s="76"/>
      <c r="CA100" s="76"/>
      <c r="CB100" s="76"/>
      <c r="CC100" s="76"/>
      <c r="CD100" s="76"/>
      <c r="CE100" s="29"/>
      <c r="CF100" s="29"/>
      <c r="CG100" s="29"/>
      <c r="CH100" s="29">
        <f t="shared" si="20"/>
        <v>2505100</v>
      </c>
      <c r="CI100" s="76"/>
    </row>
    <row r="101" spans="1:87" ht="63" customHeight="1" x14ac:dyDescent="0.8">
      <c r="A101" s="12" t="s">
        <v>218</v>
      </c>
      <c r="B101" s="13" t="s">
        <v>159</v>
      </c>
      <c r="C101" s="76"/>
      <c r="D101" s="76"/>
      <c r="E101" s="76"/>
      <c r="F101" s="76"/>
      <c r="G101" s="76"/>
      <c r="H101" s="76"/>
      <c r="I101" s="76"/>
      <c r="J101" s="76"/>
      <c r="K101" s="29">
        <f>L101</f>
        <v>0</v>
      </c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29"/>
      <c r="W101" s="29">
        <f t="shared" si="21"/>
        <v>90693</v>
      </c>
      <c r="X101" s="76"/>
      <c r="Y101" s="76"/>
      <c r="Z101" s="76">
        <v>90693</v>
      </c>
      <c r="AA101" s="76"/>
      <c r="AB101" s="76"/>
      <c r="AC101" s="76"/>
      <c r="AD101" s="76"/>
      <c r="AE101" s="29">
        <f t="shared" si="22"/>
        <v>0</v>
      </c>
      <c r="AF101" s="29"/>
      <c r="AG101" s="29"/>
      <c r="AH101" s="29">
        <f t="shared" si="23"/>
        <v>489198</v>
      </c>
      <c r="AI101" s="76">
        <v>202338</v>
      </c>
      <c r="AJ101" s="76">
        <v>163836</v>
      </c>
      <c r="AK101" s="76">
        <v>107952</v>
      </c>
      <c r="AL101" s="76">
        <v>15072</v>
      </c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>
        <f>500000</f>
        <v>500000</v>
      </c>
      <c r="AY101" s="76">
        <v>568000</v>
      </c>
      <c r="AZ101" s="76"/>
      <c r="BA101" s="76"/>
      <c r="BB101" s="76"/>
      <c r="BC101" s="76"/>
      <c r="BD101" s="76"/>
      <c r="BE101" s="76"/>
      <c r="BF101" s="76"/>
      <c r="BG101" s="76"/>
      <c r="BH101" s="76"/>
      <c r="BI101" s="29"/>
      <c r="BJ101" s="29"/>
      <c r="BK101" s="29"/>
      <c r="BL101" s="29"/>
      <c r="BM101" s="29">
        <f t="shared" si="19"/>
        <v>1647891</v>
      </c>
      <c r="BN101" s="29"/>
      <c r="BO101" s="29"/>
      <c r="BP101" s="29"/>
      <c r="BQ101" s="76"/>
      <c r="BR101" s="76"/>
      <c r="BS101" s="76"/>
      <c r="BT101" s="76"/>
      <c r="BU101" s="76"/>
      <c r="BV101" s="76">
        <v>13500</v>
      </c>
      <c r="BW101" s="76"/>
      <c r="BX101" s="76"/>
      <c r="BY101" s="76"/>
      <c r="BZ101" s="76"/>
      <c r="CA101" s="76"/>
      <c r="CB101" s="76"/>
      <c r="CC101" s="76"/>
      <c r="CD101" s="76"/>
      <c r="CE101" s="29"/>
      <c r="CF101" s="29"/>
      <c r="CG101" s="29"/>
      <c r="CH101" s="29">
        <f t="shared" si="20"/>
        <v>13500</v>
      </c>
      <c r="CI101" s="76"/>
    </row>
    <row r="102" spans="1:87" ht="63" customHeight="1" x14ac:dyDescent="0.8">
      <c r="A102" s="12" t="s">
        <v>235</v>
      </c>
      <c r="B102" s="13" t="s">
        <v>236</v>
      </c>
      <c r="C102" s="76"/>
      <c r="D102" s="76"/>
      <c r="E102" s="76"/>
      <c r="F102" s="76"/>
      <c r="G102" s="76"/>
      <c r="H102" s="76"/>
      <c r="I102" s="76"/>
      <c r="J102" s="76"/>
      <c r="K102" s="29"/>
      <c r="L102" s="76"/>
      <c r="M102" s="76"/>
      <c r="N102" s="76"/>
      <c r="O102" s="76">
        <v>312053</v>
      </c>
      <c r="P102" s="76">
        <v>47056</v>
      </c>
      <c r="Q102" s="76">
        <f>178299</f>
        <v>178299</v>
      </c>
      <c r="R102" s="76"/>
      <c r="S102" s="76"/>
      <c r="T102" s="76"/>
      <c r="U102" s="76"/>
      <c r="V102" s="29"/>
      <c r="W102" s="29">
        <f t="shared" si="21"/>
        <v>644347</v>
      </c>
      <c r="X102" s="76">
        <v>102000</v>
      </c>
      <c r="Y102" s="76"/>
      <c r="Z102" s="76">
        <v>45347</v>
      </c>
      <c r="AA102" s="76"/>
      <c r="AB102" s="76"/>
      <c r="AC102" s="76"/>
      <c r="AD102" s="76">
        <v>497000</v>
      </c>
      <c r="AE102" s="29">
        <f t="shared" si="22"/>
        <v>0</v>
      </c>
      <c r="AF102" s="29"/>
      <c r="AG102" s="29"/>
      <c r="AH102" s="29">
        <f t="shared" si="23"/>
        <v>183350</v>
      </c>
      <c r="AI102" s="76">
        <v>67446</v>
      </c>
      <c r="AJ102" s="76">
        <v>51948</v>
      </c>
      <c r="AK102" s="76">
        <v>53976</v>
      </c>
      <c r="AL102" s="76">
        <v>9980</v>
      </c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>
        <f>1500000</f>
        <v>1500000</v>
      </c>
      <c r="AY102" s="76">
        <v>200000</v>
      </c>
      <c r="AZ102" s="76"/>
      <c r="BA102" s="76"/>
      <c r="BB102" s="76"/>
      <c r="BC102" s="76"/>
      <c r="BD102" s="76"/>
      <c r="BE102" s="76"/>
      <c r="BF102" s="76"/>
      <c r="BG102" s="76"/>
      <c r="BH102" s="76">
        <f>770000</f>
        <v>770000</v>
      </c>
      <c r="BI102" s="29"/>
      <c r="BJ102" s="29"/>
      <c r="BK102" s="29"/>
      <c r="BL102" s="29"/>
      <c r="BM102" s="29">
        <f t="shared" si="19"/>
        <v>3835105</v>
      </c>
      <c r="BN102" s="29"/>
      <c r="BO102" s="29"/>
      <c r="BP102" s="29"/>
      <c r="BQ102" s="76"/>
      <c r="BR102" s="76"/>
      <c r="BS102" s="76"/>
      <c r="BT102" s="76"/>
      <c r="BU102" s="76"/>
      <c r="BV102" s="76">
        <v>5800</v>
      </c>
      <c r="BW102" s="76"/>
      <c r="BX102" s="76"/>
      <c r="BY102" s="76"/>
      <c r="BZ102" s="76"/>
      <c r="CA102" s="76"/>
      <c r="CB102" s="76"/>
      <c r="CC102" s="76"/>
      <c r="CD102" s="76"/>
      <c r="CE102" s="29"/>
      <c r="CF102" s="29"/>
      <c r="CG102" s="29"/>
      <c r="CH102" s="29">
        <f t="shared" si="20"/>
        <v>5800</v>
      </c>
      <c r="CI102" s="76"/>
    </row>
    <row r="103" spans="1:87" ht="59.25" x14ac:dyDescent="0.8">
      <c r="A103" s="12" t="s">
        <v>287</v>
      </c>
      <c r="B103" s="13" t="s">
        <v>285</v>
      </c>
      <c r="C103" s="76"/>
      <c r="D103" s="76"/>
      <c r="E103" s="76"/>
      <c r="F103" s="76"/>
      <c r="G103" s="76"/>
      <c r="H103" s="76"/>
      <c r="I103" s="76"/>
      <c r="J103" s="76"/>
      <c r="K103" s="29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29"/>
      <c r="W103" s="29">
        <f t="shared" si="21"/>
        <v>15116</v>
      </c>
      <c r="X103" s="76"/>
      <c r="Y103" s="76"/>
      <c r="Z103" s="76">
        <v>15116</v>
      </c>
      <c r="AA103" s="76"/>
      <c r="AB103" s="76"/>
      <c r="AC103" s="76"/>
      <c r="AD103" s="76"/>
      <c r="AE103" s="29">
        <f t="shared" si="22"/>
        <v>0</v>
      </c>
      <c r="AF103" s="29"/>
      <c r="AG103" s="29"/>
      <c r="AH103" s="29">
        <f t="shared" si="23"/>
        <v>71944</v>
      </c>
      <c r="AI103" s="76">
        <v>22482</v>
      </c>
      <c r="AJ103" s="76">
        <v>29970</v>
      </c>
      <c r="AK103" s="76">
        <v>17992</v>
      </c>
      <c r="AL103" s="76">
        <v>1500</v>
      </c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29"/>
      <c r="BJ103" s="29"/>
      <c r="BK103" s="29"/>
      <c r="BL103" s="29"/>
      <c r="BM103" s="29">
        <f t="shared" si="19"/>
        <v>87060</v>
      </c>
      <c r="BN103" s="29"/>
      <c r="BO103" s="29"/>
      <c r="BP103" s="29"/>
      <c r="BQ103" s="76"/>
      <c r="BR103" s="76"/>
      <c r="BS103" s="76"/>
      <c r="BT103" s="76"/>
      <c r="BU103" s="76"/>
      <c r="BV103" s="76">
        <v>3600</v>
      </c>
      <c r="BW103" s="76"/>
      <c r="BX103" s="76"/>
      <c r="BY103" s="76"/>
      <c r="BZ103" s="76"/>
      <c r="CA103" s="76"/>
      <c r="CB103" s="76"/>
      <c r="CC103" s="76"/>
      <c r="CD103" s="76"/>
      <c r="CE103" s="29"/>
      <c r="CF103" s="29"/>
      <c r="CG103" s="29"/>
      <c r="CH103" s="29">
        <f t="shared" si="20"/>
        <v>3600</v>
      </c>
      <c r="CI103" s="76"/>
    </row>
    <row r="104" spans="1:87" ht="63" customHeight="1" x14ac:dyDescent="0.8">
      <c r="A104" s="12" t="s">
        <v>182</v>
      </c>
      <c r="B104" s="13" t="s">
        <v>202</v>
      </c>
      <c r="C104" s="76"/>
      <c r="D104" s="76"/>
      <c r="E104" s="76"/>
      <c r="F104" s="76"/>
      <c r="G104" s="76"/>
      <c r="H104" s="76"/>
      <c r="I104" s="76"/>
      <c r="J104" s="76"/>
      <c r="K104" s="29">
        <f>L104+M104+N104</f>
        <v>62500</v>
      </c>
      <c r="L104" s="76">
        <v>62500</v>
      </c>
      <c r="M104" s="76"/>
      <c r="N104" s="76"/>
      <c r="O104" s="76"/>
      <c r="P104" s="76"/>
      <c r="Q104" s="76"/>
      <c r="R104" s="76"/>
      <c r="S104" s="76"/>
      <c r="T104" s="76"/>
      <c r="U104" s="76"/>
      <c r="V104" s="29"/>
      <c r="W104" s="29">
        <f t="shared" si="21"/>
        <v>30231</v>
      </c>
      <c r="X104" s="76"/>
      <c r="Y104" s="76"/>
      <c r="Z104" s="76">
        <v>30231</v>
      </c>
      <c r="AA104" s="76"/>
      <c r="AB104" s="76"/>
      <c r="AC104" s="76"/>
      <c r="AD104" s="76"/>
      <c r="AE104" s="29">
        <f t="shared" si="22"/>
        <v>0</v>
      </c>
      <c r="AF104" s="29"/>
      <c r="AG104" s="29"/>
      <c r="AH104" s="29">
        <f t="shared" si="23"/>
        <v>105208</v>
      </c>
      <c r="AI104" s="76">
        <v>44964</v>
      </c>
      <c r="AJ104" s="76">
        <v>19980</v>
      </c>
      <c r="AK104" s="76">
        <v>35984</v>
      </c>
      <c r="AL104" s="76">
        <v>4280</v>
      </c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29"/>
      <c r="BJ104" s="29"/>
      <c r="BK104" s="29"/>
      <c r="BL104" s="29"/>
      <c r="BM104" s="29">
        <f t="shared" si="19"/>
        <v>197939</v>
      </c>
      <c r="BN104" s="29"/>
      <c r="BO104" s="29"/>
      <c r="BP104" s="29"/>
      <c r="BQ104" s="76"/>
      <c r="BR104" s="76"/>
      <c r="BS104" s="76"/>
      <c r="BT104" s="76"/>
      <c r="BU104" s="76"/>
      <c r="BV104" s="76">
        <v>5600</v>
      </c>
      <c r="BW104" s="76"/>
      <c r="BX104" s="76"/>
      <c r="BY104" s="76"/>
      <c r="BZ104" s="76"/>
      <c r="CA104" s="76"/>
      <c r="CB104" s="76"/>
      <c r="CC104" s="76"/>
      <c r="CD104" s="76"/>
      <c r="CE104" s="29"/>
      <c r="CF104" s="29"/>
      <c r="CG104" s="29"/>
      <c r="CH104" s="29">
        <f t="shared" si="20"/>
        <v>5600</v>
      </c>
      <c r="CI104" s="76"/>
    </row>
    <row r="105" spans="1:87" ht="63" customHeight="1" x14ac:dyDescent="0.8">
      <c r="A105" s="12" t="s">
        <v>288</v>
      </c>
      <c r="B105" s="13" t="s">
        <v>286</v>
      </c>
      <c r="C105" s="76"/>
      <c r="D105" s="76"/>
      <c r="E105" s="76"/>
      <c r="F105" s="76"/>
      <c r="G105" s="76"/>
      <c r="H105" s="76"/>
      <c r="I105" s="76">
        <v>3700000</v>
      </c>
      <c r="J105" s="76"/>
      <c r="K105" s="29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29"/>
      <c r="W105" s="29">
        <f t="shared" si="21"/>
        <v>75578</v>
      </c>
      <c r="X105" s="76"/>
      <c r="Y105" s="76"/>
      <c r="Z105" s="76">
        <v>75578</v>
      </c>
      <c r="AA105" s="76"/>
      <c r="AB105" s="76"/>
      <c r="AC105" s="76"/>
      <c r="AD105" s="76"/>
      <c r="AE105" s="29">
        <f t="shared" si="22"/>
        <v>0</v>
      </c>
      <c r="AF105" s="29"/>
      <c r="AG105" s="29"/>
      <c r="AH105" s="29">
        <f t="shared" si="23"/>
        <v>271210</v>
      </c>
      <c r="AI105" s="76">
        <v>112410</v>
      </c>
      <c r="AJ105" s="76">
        <v>59940</v>
      </c>
      <c r="AK105" s="76">
        <v>89960</v>
      </c>
      <c r="AL105" s="76">
        <v>8900</v>
      </c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>
        <f>1500000</f>
        <v>1500000</v>
      </c>
      <c r="BH105" s="76"/>
      <c r="BI105" s="29"/>
      <c r="BJ105" s="29"/>
      <c r="BK105" s="29"/>
      <c r="BL105" s="29"/>
      <c r="BM105" s="29">
        <f t="shared" si="19"/>
        <v>5546788</v>
      </c>
      <c r="BN105" s="29"/>
      <c r="BO105" s="29"/>
      <c r="BP105" s="29"/>
      <c r="BQ105" s="76"/>
      <c r="BR105" s="76">
        <f>150000</f>
        <v>150000</v>
      </c>
      <c r="BS105" s="76"/>
      <c r="BT105" s="76"/>
      <c r="BU105" s="76"/>
      <c r="BV105" s="76">
        <f>6200</f>
        <v>6200</v>
      </c>
      <c r="BW105" s="76"/>
      <c r="BX105" s="76"/>
      <c r="BY105" s="76"/>
      <c r="BZ105" s="76"/>
      <c r="CA105" s="76"/>
      <c r="CB105" s="76"/>
      <c r="CC105" s="76"/>
      <c r="CD105" s="76"/>
      <c r="CE105" s="29"/>
      <c r="CF105" s="29"/>
      <c r="CG105" s="29"/>
      <c r="CH105" s="29">
        <f t="shared" si="20"/>
        <v>156200</v>
      </c>
      <c r="CI105" s="76"/>
    </row>
    <row r="106" spans="1:87" ht="63" customHeight="1" x14ac:dyDescent="0.8">
      <c r="A106" s="12" t="s">
        <v>183</v>
      </c>
      <c r="B106" s="13" t="s">
        <v>203</v>
      </c>
      <c r="C106" s="76"/>
      <c r="D106" s="76"/>
      <c r="E106" s="76"/>
      <c r="F106" s="76"/>
      <c r="G106" s="76"/>
      <c r="H106" s="76"/>
      <c r="I106" s="76"/>
      <c r="J106" s="76"/>
      <c r="K106" s="29">
        <f>L106+M106+N106</f>
        <v>79200</v>
      </c>
      <c r="L106" s="76">
        <v>79200</v>
      </c>
      <c r="M106" s="76"/>
      <c r="N106" s="76"/>
      <c r="O106" s="76"/>
      <c r="P106" s="76"/>
      <c r="Q106" s="76"/>
      <c r="R106" s="76"/>
      <c r="S106" s="76"/>
      <c r="T106" s="76"/>
      <c r="U106" s="76"/>
      <c r="V106" s="29"/>
      <c r="W106" s="29">
        <f t="shared" si="21"/>
        <v>60462</v>
      </c>
      <c r="X106" s="76"/>
      <c r="Y106" s="76"/>
      <c r="Z106" s="76">
        <v>60462</v>
      </c>
      <c r="AA106" s="76"/>
      <c r="AB106" s="76"/>
      <c r="AC106" s="76"/>
      <c r="AD106" s="76"/>
      <c r="AE106" s="29">
        <f t="shared" si="22"/>
        <v>0</v>
      </c>
      <c r="AF106" s="29"/>
      <c r="AG106" s="29"/>
      <c r="AH106" s="29">
        <f t="shared" si="23"/>
        <v>207967</v>
      </c>
      <c r="AI106" s="76">
        <v>89928</v>
      </c>
      <c r="AJ106" s="76">
        <v>38961</v>
      </c>
      <c r="AK106" s="76">
        <v>71968</v>
      </c>
      <c r="AL106" s="76">
        <v>7110</v>
      </c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>
        <f>220000</f>
        <v>220000</v>
      </c>
      <c r="AY106" s="76">
        <v>78150</v>
      </c>
      <c r="AZ106" s="76"/>
      <c r="BA106" s="76"/>
      <c r="BB106" s="76"/>
      <c r="BC106" s="76"/>
      <c r="BD106" s="76"/>
      <c r="BE106" s="76"/>
      <c r="BF106" s="76"/>
      <c r="BG106" s="76"/>
      <c r="BH106" s="76"/>
      <c r="BI106" s="29"/>
      <c r="BJ106" s="29"/>
      <c r="BK106" s="29"/>
      <c r="BL106" s="29"/>
      <c r="BM106" s="29">
        <f t="shared" si="19"/>
        <v>645779</v>
      </c>
      <c r="BN106" s="29"/>
      <c r="BO106" s="29"/>
      <c r="BP106" s="29"/>
      <c r="BQ106" s="76"/>
      <c r="BR106" s="76">
        <v>500000</v>
      </c>
      <c r="BS106" s="76"/>
      <c r="BT106" s="76"/>
      <c r="BU106" s="76"/>
      <c r="BV106" s="76">
        <v>4400</v>
      </c>
      <c r="BW106" s="76"/>
      <c r="BX106" s="76"/>
      <c r="BY106" s="76"/>
      <c r="BZ106" s="76"/>
      <c r="CA106" s="76"/>
      <c r="CB106" s="76"/>
      <c r="CC106" s="76"/>
      <c r="CD106" s="76"/>
      <c r="CE106" s="29"/>
      <c r="CF106" s="29"/>
      <c r="CG106" s="29"/>
      <c r="CH106" s="29">
        <f t="shared" si="20"/>
        <v>504400</v>
      </c>
      <c r="CI106" s="76"/>
    </row>
    <row r="107" spans="1:87" ht="63" customHeight="1" x14ac:dyDescent="0.8">
      <c r="A107" s="12"/>
      <c r="B107" s="13" t="s">
        <v>50</v>
      </c>
      <c r="C107" s="76">
        <f t="shared" ref="C107:BL107" si="25">SUM(C51:C106)</f>
        <v>0</v>
      </c>
      <c r="D107" s="76">
        <f t="shared" si="25"/>
        <v>63342000</v>
      </c>
      <c r="E107" s="76">
        <f t="shared" si="25"/>
        <v>0</v>
      </c>
      <c r="F107" s="76">
        <f t="shared" si="25"/>
        <v>0</v>
      </c>
      <c r="G107" s="76">
        <f t="shared" si="25"/>
        <v>0</v>
      </c>
      <c r="H107" s="76">
        <f t="shared" si="25"/>
        <v>0</v>
      </c>
      <c r="I107" s="76">
        <f t="shared" si="25"/>
        <v>7464000</v>
      </c>
      <c r="J107" s="76">
        <f t="shared" si="25"/>
        <v>0</v>
      </c>
      <c r="K107" s="76">
        <f t="shared" si="25"/>
        <v>141700</v>
      </c>
      <c r="L107" s="76">
        <f t="shared" si="25"/>
        <v>141700</v>
      </c>
      <c r="M107" s="76">
        <f t="shared" si="25"/>
        <v>0</v>
      </c>
      <c r="N107" s="76">
        <f t="shared" si="25"/>
        <v>0</v>
      </c>
      <c r="O107" s="76">
        <f t="shared" si="25"/>
        <v>4323232</v>
      </c>
      <c r="P107" s="76">
        <f t="shared" si="25"/>
        <v>651919</v>
      </c>
      <c r="Q107" s="76">
        <f t="shared" si="25"/>
        <v>4163344</v>
      </c>
      <c r="R107" s="76">
        <f t="shared" si="25"/>
        <v>0</v>
      </c>
      <c r="S107" s="76">
        <f>SUM(S51:S106)</f>
        <v>0</v>
      </c>
      <c r="T107" s="76">
        <f>SUM(T51:T106)</f>
        <v>0</v>
      </c>
      <c r="U107" s="76">
        <f>SUM(U51:U106)</f>
        <v>0</v>
      </c>
      <c r="V107" s="76">
        <f t="shared" si="25"/>
        <v>0</v>
      </c>
      <c r="W107" s="29">
        <f t="shared" si="21"/>
        <v>33078117.129999999</v>
      </c>
      <c r="X107" s="76">
        <f t="shared" si="25"/>
        <v>11419256.379999999</v>
      </c>
      <c r="Y107" s="76">
        <f t="shared" si="25"/>
        <v>16074000</v>
      </c>
      <c r="Z107" s="76">
        <f t="shared" si="25"/>
        <v>3960275</v>
      </c>
      <c r="AA107" s="76">
        <f t="shared" si="25"/>
        <v>400000</v>
      </c>
      <c r="AB107" s="76">
        <f t="shared" si="25"/>
        <v>0</v>
      </c>
      <c r="AC107" s="76">
        <f t="shared" si="25"/>
        <v>0</v>
      </c>
      <c r="AD107" s="76">
        <f t="shared" si="25"/>
        <v>1224585.75</v>
      </c>
      <c r="AE107" s="29">
        <f t="shared" si="22"/>
        <v>5169065</v>
      </c>
      <c r="AF107" s="29">
        <f>SUM(AF51:AF106)</f>
        <v>3520265</v>
      </c>
      <c r="AG107" s="29">
        <f>SUM(AG51:AG106)</f>
        <v>1648800</v>
      </c>
      <c r="AH107" s="29">
        <f>AI107+AJ107+AK107+AL107</f>
        <v>14496327</v>
      </c>
      <c r="AI107" s="76">
        <f>SUM(AI51:AI106)</f>
        <v>5980212</v>
      </c>
      <c r="AJ107" s="76">
        <f>SUM(AJ51:AJ106)</f>
        <v>4429566</v>
      </c>
      <c r="AK107" s="76">
        <f>SUM(AK51:AK106)</f>
        <v>3562415</v>
      </c>
      <c r="AL107" s="76">
        <f>SUM(AL51:AL106)</f>
        <v>524134</v>
      </c>
      <c r="AM107" s="76">
        <f t="shared" si="25"/>
        <v>0</v>
      </c>
      <c r="AN107" s="76">
        <f t="shared" si="25"/>
        <v>0</v>
      </c>
      <c r="AO107" s="76">
        <f t="shared" si="25"/>
        <v>0</v>
      </c>
      <c r="AP107" s="76">
        <f t="shared" si="25"/>
        <v>0</v>
      </c>
      <c r="AQ107" s="76">
        <f t="shared" si="25"/>
        <v>0</v>
      </c>
      <c r="AR107" s="76">
        <f t="shared" si="25"/>
        <v>0</v>
      </c>
      <c r="AS107" s="76">
        <f t="shared" si="25"/>
        <v>0</v>
      </c>
      <c r="AT107" s="76">
        <f t="shared" si="25"/>
        <v>0</v>
      </c>
      <c r="AU107" s="76"/>
      <c r="AV107" s="76"/>
      <c r="AW107" s="76">
        <f t="shared" si="25"/>
        <v>0</v>
      </c>
      <c r="AX107" s="76">
        <f t="shared" si="25"/>
        <v>10250000</v>
      </c>
      <c r="AY107" s="76">
        <f t="shared" si="25"/>
        <v>7063150</v>
      </c>
      <c r="AZ107" s="76">
        <f t="shared" si="25"/>
        <v>183000</v>
      </c>
      <c r="BA107" s="76">
        <f t="shared" si="25"/>
        <v>0</v>
      </c>
      <c r="BB107" s="76">
        <f t="shared" si="25"/>
        <v>0</v>
      </c>
      <c r="BC107" s="76">
        <f t="shared" si="25"/>
        <v>2750000</v>
      </c>
      <c r="BD107" s="76">
        <f t="shared" si="25"/>
        <v>0</v>
      </c>
      <c r="BE107" s="76">
        <f t="shared" si="25"/>
        <v>0</v>
      </c>
      <c r="BF107" s="76">
        <f t="shared" si="25"/>
        <v>0</v>
      </c>
      <c r="BG107" s="76">
        <f t="shared" si="25"/>
        <v>5000000</v>
      </c>
      <c r="BH107" s="76">
        <f t="shared" si="25"/>
        <v>9350000</v>
      </c>
      <c r="BI107" s="76">
        <f t="shared" si="25"/>
        <v>0</v>
      </c>
      <c r="BJ107" s="76">
        <f t="shared" si="25"/>
        <v>0</v>
      </c>
      <c r="BK107" s="76">
        <f t="shared" si="25"/>
        <v>0</v>
      </c>
      <c r="BL107" s="76">
        <f t="shared" si="25"/>
        <v>1000000</v>
      </c>
      <c r="BM107" s="29">
        <f t="shared" si="19"/>
        <v>168425854.13</v>
      </c>
      <c r="BN107" s="76">
        <f t="shared" ref="BN107:CG107" si="26">SUM(BN51:BN106)</f>
        <v>0</v>
      </c>
      <c r="BO107" s="76">
        <f t="shared" si="26"/>
        <v>0</v>
      </c>
      <c r="BP107" s="76">
        <f t="shared" si="26"/>
        <v>0</v>
      </c>
      <c r="BQ107" s="76">
        <f t="shared" si="26"/>
        <v>1000000</v>
      </c>
      <c r="BR107" s="76">
        <f>SUM(BR51:BR106)</f>
        <v>12177000</v>
      </c>
      <c r="BS107" s="88">
        <f>SUM(BS51:BS106)</f>
        <v>30000000</v>
      </c>
      <c r="BT107" s="88">
        <f t="shared" si="26"/>
        <v>76600000</v>
      </c>
      <c r="BU107" s="76">
        <f t="shared" si="26"/>
        <v>0</v>
      </c>
      <c r="BV107" s="76">
        <f>SUM(BV51:BV106)</f>
        <v>430499</v>
      </c>
      <c r="BW107" s="76">
        <f t="shared" si="26"/>
        <v>0</v>
      </c>
      <c r="BX107" s="76">
        <f t="shared" si="26"/>
        <v>0</v>
      </c>
      <c r="BY107" s="76">
        <f t="shared" si="26"/>
        <v>0</v>
      </c>
      <c r="BZ107" s="76">
        <f t="shared" si="26"/>
        <v>0</v>
      </c>
      <c r="CA107" s="76">
        <f t="shared" si="26"/>
        <v>0</v>
      </c>
      <c r="CB107" s="76">
        <f t="shared" si="26"/>
        <v>0</v>
      </c>
      <c r="CC107" s="76">
        <f t="shared" si="26"/>
        <v>0</v>
      </c>
      <c r="CD107" s="76">
        <f t="shared" si="26"/>
        <v>0</v>
      </c>
      <c r="CE107" s="76">
        <f t="shared" si="26"/>
        <v>0</v>
      </c>
      <c r="CF107" s="76">
        <f t="shared" si="26"/>
        <v>1500000</v>
      </c>
      <c r="CG107" s="76">
        <f t="shared" si="26"/>
        <v>0</v>
      </c>
      <c r="CH107" s="29">
        <f t="shared" si="20"/>
        <v>121707499</v>
      </c>
      <c r="CI107" s="76">
        <f>CI51+CI52+CI53+CI54+CI56+CI57+CI58+CI59+CI60+CI61+CI62+CI63+CI64+CI101+CI67+CI68+CI69+CI71+CI74+CI77+CI79+CI80+CI81+CI82+CI83+CI84+CI85+CI87+CI88+CI89+CI90+CI91+CI92+CI93+CI94+CI95+CI96+CI98+CI99+CI100+CI104+CI106+CI65+CI78+CI76+CI70</f>
        <v>0</v>
      </c>
    </row>
    <row r="108" spans="1:87" ht="59.25" customHeight="1" x14ac:dyDescent="0.8">
      <c r="A108" s="12" t="s">
        <v>215</v>
      </c>
      <c r="B108" s="13" t="s">
        <v>216</v>
      </c>
      <c r="C108" s="76"/>
      <c r="D108" s="76"/>
      <c r="E108" s="76"/>
      <c r="F108" s="76"/>
      <c r="G108" s="76"/>
      <c r="H108" s="76"/>
      <c r="I108" s="76"/>
      <c r="J108" s="76"/>
      <c r="K108" s="29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29"/>
      <c r="W108" s="29">
        <f t="shared" si="21"/>
        <v>0</v>
      </c>
      <c r="X108" s="76"/>
      <c r="Y108" s="76"/>
      <c r="Z108" s="76"/>
      <c r="AA108" s="76"/>
      <c r="AB108" s="76"/>
      <c r="AC108" s="76"/>
      <c r="AD108" s="76"/>
      <c r="AE108" s="29">
        <f t="shared" si="22"/>
        <v>0</v>
      </c>
      <c r="AF108" s="29"/>
      <c r="AG108" s="29"/>
      <c r="AH108" s="29">
        <f>AI108+AJ108+AK108</f>
        <v>0</v>
      </c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29"/>
      <c r="BJ108" s="29"/>
      <c r="BK108" s="29"/>
      <c r="BL108" s="29"/>
      <c r="BM108" s="29">
        <f t="shared" si="19"/>
        <v>0</v>
      </c>
      <c r="BN108" s="29">
        <v>6399600</v>
      </c>
      <c r="BO108" s="29"/>
      <c r="BP108" s="29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29"/>
      <c r="CF108" s="29"/>
      <c r="CG108" s="29"/>
      <c r="CH108" s="29">
        <f t="shared" si="20"/>
        <v>6399600</v>
      </c>
      <c r="CI108" s="76"/>
    </row>
    <row r="109" spans="1:87" ht="59.25" customHeight="1" x14ac:dyDescent="0.8">
      <c r="A109" s="12" t="s">
        <v>224</v>
      </c>
      <c r="B109" s="13" t="s">
        <v>225</v>
      </c>
      <c r="C109" s="76"/>
      <c r="D109" s="76"/>
      <c r="E109" s="76"/>
      <c r="F109" s="76"/>
      <c r="G109" s="76"/>
      <c r="H109" s="76"/>
      <c r="I109" s="76"/>
      <c r="J109" s="76"/>
      <c r="K109" s="29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29"/>
      <c r="W109" s="29">
        <f t="shared" si="21"/>
        <v>0</v>
      </c>
      <c r="X109" s="76"/>
      <c r="Y109" s="76"/>
      <c r="Z109" s="76"/>
      <c r="AA109" s="76"/>
      <c r="AB109" s="76"/>
      <c r="AC109" s="76"/>
      <c r="AD109" s="76"/>
      <c r="AE109" s="29">
        <f t="shared" si="22"/>
        <v>0</v>
      </c>
      <c r="AF109" s="29"/>
      <c r="AG109" s="29"/>
      <c r="AH109" s="29">
        <f>AI109+AJ109+AK109</f>
        <v>0</v>
      </c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29"/>
      <c r="BJ109" s="29"/>
      <c r="BK109" s="29"/>
      <c r="BL109" s="29"/>
      <c r="BM109" s="29">
        <f>SUM(C109:BK109)-X109-Y109-Z109-AA109-AB109-AC109-AD109-AT109-L109-M109-N109-AI109-AJ109-AK109-AF109-AG109-AL109+BL109</f>
        <v>0</v>
      </c>
      <c r="BN109" s="29"/>
      <c r="BO109" s="29"/>
      <c r="BP109" s="29">
        <v>250000</v>
      </c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29"/>
      <c r="CF109" s="29"/>
      <c r="CG109" s="29"/>
      <c r="CH109" s="29">
        <f>SUM(BN109:CG109)</f>
        <v>250000</v>
      </c>
      <c r="CI109" s="76"/>
    </row>
    <row r="110" spans="1:87" s="14" customFormat="1" ht="59.25" customHeight="1" x14ac:dyDescent="0.8">
      <c r="A110" s="12" t="s">
        <v>9</v>
      </c>
      <c r="B110" s="13" t="s">
        <v>10</v>
      </c>
      <c r="C110" s="28"/>
      <c r="D110" s="28">
        <f>79419500-79419500</f>
        <v>0</v>
      </c>
      <c r="E110" s="28"/>
      <c r="F110" s="28"/>
      <c r="G110" s="28"/>
      <c r="H110" s="76"/>
      <c r="I110" s="76"/>
      <c r="J110" s="76"/>
      <c r="K110" s="29">
        <f>L110</f>
        <v>0</v>
      </c>
      <c r="L110" s="76"/>
      <c r="M110" s="76"/>
      <c r="N110" s="76"/>
      <c r="O110" s="76"/>
      <c r="P110" s="76"/>
      <c r="Q110" s="76"/>
      <c r="R110" s="76"/>
      <c r="S110" s="76"/>
      <c r="T110" s="76"/>
      <c r="U110" s="76">
        <f>56547900-51641721.6</f>
        <v>4906178.3999999985</v>
      </c>
      <c r="V110" s="29">
        <f>41542000-27683000</f>
        <v>13859000</v>
      </c>
      <c r="W110" s="29">
        <f t="shared" si="21"/>
        <v>0</v>
      </c>
      <c r="X110" s="76"/>
      <c r="Y110" s="76"/>
      <c r="Z110" s="76"/>
      <c r="AA110" s="76"/>
      <c r="AB110" s="76"/>
      <c r="AC110" s="76"/>
      <c r="AD110" s="76"/>
      <c r="AE110" s="29">
        <f t="shared" si="22"/>
        <v>0</v>
      </c>
      <c r="AF110" s="29">
        <f>6801000-6801000</f>
        <v>0</v>
      </c>
      <c r="AG110" s="29"/>
      <c r="AH110" s="29">
        <v>228483</v>
      </c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>
        <f>1000000-1000000</f>
        <v>0</v>
      </c>
      <c r="BA110" s="76"/>
      <c r="BB110" s="76"/>
      <c r="BC110" s="76"/>
      <c r="BD110" s="76"/>
      <c r="BE110" s="76"/>
      <c r="BF110" s="76"/>
      <c r="BG110" s="76">
        <f>7000000-7000000</f>
        <v>0</v>
      </c>
      <c r="BH110" s="76">
        <f>13770000-3500000-10270000</f>
        <v>0</v>
      </c>
      <c r="BI110" s="29"/>
      <c r="BJ110" s="29"/>
      <c r="BK110" s="29"/>
      <c r="BL110" s="29"/>
      <c r="BM110" s="29">
        <f>SUM(C110:BK110)-X110-Y110-Z110-AA110-AB110-AC110-AD110-AT110-L110-M110-N110-AI110-AJ110-AK110-AF110-AG110-AL110+BL110</f>
        <v>18993661.399999999</v>
      </c>
      <c r="BN110" s="29"/>
      <c r="BO110" s="29"/>
      <c r="BP110" s="29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29"/>
      <c r="CF110" s="29"/>
      <c r="CG110" s="29"/>
      <c r="CH110" s="29">
        <f>SUM(BN110:CG110)</f>
        <v>0</v>
      </c>
      <c r="CI110" s="76"/>
    </row>
    <row r="111" spans="1:87" s="14" customFormat="1" ht="55.5" customHeight="1" x14ac:dyDescent="0.8">
      <c r="A111" s="12"/>
      <c r="B111" s="13" t="s">
        <v>11</v>
      </c>
      <c r="C111" s="28">
        <f>553836900-194542300</f>
        <v>359294600</v>
      </c>
      <c r="D111" s="28"/>
      <c r="E111" s="28"/>
      <c r="F111" s="28"/>
      <c r="G111" s="28"/>
      <c r="H111" s="76"/>
      <c r="I111" s="76"/>
      <c r="J111" s="76"/>
      <c r="K111" s="29">
        <f>L111</f>
        <v>0</v>
      </c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29"/>
      <c r="W111" s="29">
        <f t="shared" si="21"/>
        <v>0</v>
      </c>
      <c r="X111" s="76"/>
      <c r="Y111" s="76"/>
      <c r="Z111" s="76"/>
      <c r="AA111" s="76"/>
      <c r="AB111" s="76"/>
      <c r="AC111" s="76"/>
      <c r="AD111" s="76"/>
      <c r="AE111" s="29">
        <f t="shared" si="22"/>
        <v>0</v>
      </c>
      <c r="AF111" s="29"/>
      <c r="AG111" s="29"/>
      <c r="AH111" s="29">
        <f>AI111+AJ111+AK111</f>
        <v>0</v>
      </c>
      <c r="AI111" s="76"/>
      <c r="AJ111" s="76"/>
      <c r="AK111" s="76"/>
      <c r="AL111" s="76"/>
      <c r="AM111" s="76">
        <v>2729663.35</v>
      </c>
      <c r="AN111" s="76">
        <f>9000000+470000+1900000</f>
        <v>11370000</v>
      </c>
      <c r="AO111" s="76">
        <v>2000000</v>
      </c>
      <c r="AP111" s="76">
        <v>2150000</v>
      </c>
      <c r="AQ111" s="76">
        <f>20800000-2150000</f>
        <v>18650000</v>
      </c>
      <c r="AR111" s="76">
        <f>23877400+30289261+14756702</f>
        <v>68923363</v>
      </c>
      <c r="AS111" s="76">
        <f>9495000+20695491+5000000</f>
        <v>35190491</v>
      </c>
      <c r="AT111" s="76">
        <v>8717677</v>
      </c>
      <c r="AU111" s="76">
        <v>5000000</v>
      </c>
      <c r="AV111" s="76">
        <f>1000000+980000</f>
        <v>1980000</v>
      </c>
      <c r="AW111" s="76">
        <f>11000000-470000-1900000</f>
        <v>8630000</v>
      </c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29"/>
      <c r="BJ111" s="29"/>
      <c r="BK111" s="29"/>
      <c r="BL111" s="29"/>
      <c r="BM111" s="29">
        <f>SUM(C111:BK111)-X111-Y111-Z111-AA111-AB111-AC111-AD111-AT111-L111-M111-N111-AI111-AJ111-AK111-AF111-AG111-AL111+BL111-AU111</f>
        <v>510918117.35000002</v>
      </c>
      <c r="BN111" s="29"/>
      <c r="BO111" s="29"/>
      <c r="BP111" s="29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29"/>
      <c r="CF111" s="29"/>
      <c r="CG111" s="29"/>
      <c r="CH111" s="29">
        <f>SUM(BN111:CG111)</f>
        <v>0</v>
      </c>
      <c r="CI111" s="76"/>
    </row>
    <row r="112" spans="1:87" s="15" customFormat="1" ht="59.25" customHeight="1" x14ac:dyDescent="0.8">
      <c r="A112" s="12"/>
      <c r="B112" s="13" t="s">
        <v>162</v>
      </c>
      <c r="C112" s="28">
        <f>C26+C49+C110+C111+C107+C108</f>
        <v>359294600</v>
      </c>
      <c r="D112" s="28">
        <f>D26+D49+D110+D111+D107+D108</f>
        <v>189419500</v>
      </c>
      <c r="E112" s="28">
        <f t="shared" ref="E112:V112" si="27">E26+E49+E110+E111+E107+E108</f>
        <v>4207695900</v>
      </c>
      <c r="F112" s="28">
        <f t="shared" si="27"/>
        <v>5455127500</v>
      </c>
      <c r="G112" s="28">
        <f t="shared" si="27"/>
        <v>49732100</v>
      </c>
      <c r="H112" s="28">
        <f t="shared" si="27"/>
        <v>128297700</v>
      </c>
      <c r="I112" s="28">
        <f t="shared" si="27"/>
        <v>9264000</v>
      </c>
      <c r="J112" s="28">
        <f t="shared" si="27"/>
        <v>1114357</v>
      </c>
      <c r="K112" s="28">
        <f>K26+K49+K110+K111+K107+K108</f>
        <v>1602400</v>
      </c>
      <c r="L112" s="28">
        <f>L26+L49+L110+L111+L107+L108</f>
        <v>206300</v>
      </c>
      <c r="M112" s="28">
        <f>M26+M49+M110+M111+M107+M108</f>
        <v>1389000</v>
      </c>
      <c r="N112" s="28">
        <f>N26+N49+N110+N111+N107+N108</f>
        <v>7100</v>
      </c>
      <c r="O112" s="28">
        <f>O26+O49+O110+O111+O107+O108</f>
        <v>65173600</v>
      </c>
      <c r="P112" s="28">
        <f t="shared" si="27"/>
        <v>9827790.3900000006</v>
      </c>
      <c r="Q112" s="28">
        <f>Q26+Q49+Q110+Q111+Q107+Q108</f>
        <v>83248400</v>
      </c>
      <c r="R112" s="28">
        <f>R26+R49+R110+R111+R107+R108</f>
        <v>21191898</v>
      </c>
      <c r="S112" s="28">
        <f>S26+S49+S110+S111+S107+S108</f>
        <v>3002084</v>
      </c>
      <c r="T112" s="28">
        <f>T26+T49+T110+T111+T107+T108</f>
        <v>3686869</v>
      </c>
      <c r="U112" s="28">
        <f t="shared" si="27"/>
        <v>17374428.399999999</v>
      </c>
      <c r="V112" s="28">
        <f t="shared" si="27"/>
        <v>13859000</v>
      </c>
      <c r="W112" s="29">
        <f t="shared" si="21"/>
        <v>100674327.13</v>
      </c>
      <c r="X112" s="28">
        <f t="shared" ref="X112:BL112" si="28">X26+X49+X110+X111+X107+X108</f>
        <v>46234541.379999995</v>
      </c>
      <c r="Y112" s="28">
        <f t="shared" si="28"/>
        <v>32148300</v>
      </c>
      <c r="Z112" s="28">
        <f t="shared" si="28"/>
        <v>13713900</v>
      </c>
      <c r="AA112" s="28">
        <f>AA26+AA49+AA110+AA111+AA107+AA108</f>
        <v>1600000</v>
      </c>
      <c r="AB112" s="28">
        <f t="shared" si="28"/>
        <v>4280000</v>
      </c>
      <c r="AC112" s="28">
        <f t="shared" si="28"/>
        <v>1473000</v>
      </c>
      <c r="AD112" s="28">
        <f t="shared" si="28"/>
        <v>1224585.75</v>
      </c>
      <c r="AE112" s="29">
        <f t="shared" ref="AE112:AL112" si="29">AE111+AE110+AE109+AE108+AE107+AE49+AE26</f>
        <v>50880700</v>
      </c>
      <c r="AF112" s="30">
        <f t="shared" si="29"/>
        <v>44079700</v>
      </c>
      <c r="AG112" s="30">
        <f t="shared" si="29"/>
        <v>6801000</v>
      </c>
      <c r="AH112" s="29">
        <f t="shared" si="29"/>
        <v>73002342</v>
      </c>
      <c r="AI112" s="28">
        <f t="shared" si="29"/>
        <v>28104834</v>
      </c>
      <c r="AJ112" s="28">
        <f t="shared" si="29"/>
        <v>28474915</v>
      </c>
      <c r="AK112" s="28">
        <f t="shared" si="29"/>
        <v>14056006</v>
      </c>
      <c r="AL112" s="28">
        <f t="shared" si="29"/>
        <v>2138104</v>
      </c>
      <c r="AM112" s="28">
        <f t="shared" si="28"/>
        <v>2729663.35</v>
      </c>
      <c r="AN112" s="28">
        <f t="shared" si="28"/>
        <v>11370000</v>
      </c>
      <c r="AO112" s="28">
        <f>AO26+AO49+AO110+AO111+AO107+AO108</f>
        <v>2000000</v>
      </c>
      <c r="AP112" s="28">
        <f>AP26+AP49+AP110+AP111+AP107+AP108</f>
        <v>2150000</v>
      </c>
      <c r="AQ112" s="28">
        <f t="shared" si="28"/>
        <v>18650000</v>
      </c>
      <c r="AR112" s="28">
        <f>AR26+AR49+AR110+AR111+AR107+AR108</f>
        <v>68923363</v>
      </c>
      <c r="AS112" s="28">
        <f>AS26+AS49+AS110+AS111+AS107+AS108</f>
        <v>35190491</v>
      </c>
      <c r="AT112" s="28">
        <f>AT26+AT49+AT110+AT111+AT107+AT108</f>
        <v>8717677</v>
      </c>
      <c r="AU112" s="28">
        <f>AU26+AU49+AU110+AU111+AU107+AU108</f>
        <v>5000000</v>
      </c>
      <c r="AV112" s="28">
        <f>AV26+AV49+AV110+AV111+AV107+AV108</f>
        <v>1980000</v>
      </c>
      <c r="AW112" s="28">
        <f t="shared" si="28"/>
        <v>8630000</v>
      </c>
      <c r="AX112" s="28">
        <f t="shared" si="28"/>
        <v>15300000</v>
      </c>
      <c r="AY112" s="28">
        <f>AY26+AY49+AY110+AY111+AY107+AY108</f>
        <v>60000000</v>
      </c>
      <c r="AZ112" s="28">
        <f t="shared" si="28"/>
        <v>1000000</v>
      </c>
      <c r="BA112" s="28">
        <f t="shared" si="28"/>
        <v>6000000</v>
      </c>
      <c r="BB112" s="28">
        <f t="shared" si="28"/>
        <v>9000000</v>
      </c>
      <c r="BC112" s="28">
        <f t="shared" si="28"/>
        <v>17600000</v>
      </c>
      <c r="BD112" s="28">
        <f t="shared" si="28"/>
        <v>130000</v>
      </c>
      <c r="BE112" s="28">
        <f t="shared" si="28"/>
        <v>20000000</v>
      </c>
      <c r="BF112" s="28">
        <f t="shared" si="28"/>
        <v>2468000</v>
      </c>
      <c r="BG112" s="28">
        <f t="shared" si="28"/>
        <v>5000000</v>
      </c>
      <c r="BH112" s="28">
        <f>BH26+BH49+BH110+BH111+BH107+BH108</f>
        <v>16770000</v>
      </c>
      <c r="BI112" s="28">
        <f>BI26+BI49+BI110+BI111+BI107+BI108</f>
        <v>9151624</v>
      </c>
      <c r="BJ112" s="28">
        <f t="shared" si="28"/>
        <v>18000000</v>
      </c>
      <c r="BK112" s="28">
        <f t="shared" si="28"/>
        <v>11166820</v>
      </c>
      <c r="BL112" s="28">
        <f t="shared" si="28"/>
        <v>1000000</v>
      </c>
      <c r="BM112" s="29">
        <f>SUM(C112:BK112)-X112-Y112-Z112-AA112-AB112-AC112-AD112-AT112-L112-M112-N112-AI112-AJ112-AK112-AF112-AG112-AL112+BL112-AU112</f>
        <v>11187679457.269999</v>
      </c>
      <c r="BN112" s="28">
        <f>BN26+BN49+BN110+BN111+BN107+BN108</f>
        <v>6399600</v>
      </c>
      <c r="BO112" s="28">
        <f>BO26+BO49+BO110+BO111+BO107+BO108</f>
        <v>1000000</v>
      </c>
      <c r="BP112" s="28">
        <f>BP26+BP49+BP110+BP111+BP107+BP108+BP109</f>
        <v>397200</v>
      </c>
      <c r="BQ112" s="28">
        <f t="shared" ref="BQ112:CG112" si="30">BQ26+BQ49+BQ110+BQ111+BQ107+BQ108</f>
        <v>1000000</v>
      </c>
      <c r="BR112" s="28">
        <f t="shared" si="30"/>
        <v>42831000</v>
      </c>
      <c r="BS112" s="89">
        <f t="shared" si="30"/>
        <v>30000000</v>
      </c>
      <c r="BT112" s="28">
        <f t="shared" si="30"/>
        <v>90238958</v>
      </c>
      <c r="BU112" s="28">
        <f t="shared" si="30"/>
        <v>73086</v>
      </c>
      <c r="BV112" s="28">
        <f t="shared" si="30"/>
        <v>1230145</v>
      </c>
      <c r="BW112" s="28">
        <f t="shared" si="30"/>
        <v>2150000</v>
      </c>
      <c r="BX112" s="28">
        <f t="shared" si="30"/>
        <v>150000</v>
      </c>
      <c r="BY112" s="28">
        <f t="shared" si="30"/>
        <v>4000000</v>
      </c>
      <c r="BZ112" s="28">
        <f t="shared" si="30"/>
        <v>1000000</v>
      </c>
      <c r="CA112" s="89">
        <f t="shared" si="30"/>
        <v>10000</v>
      </c>
      <c r="CB112" s="28">
        <f t="shared" si="30"/>
        <v>79798</v>
      </c>
      <c r="CC112" s="28">
        <f t="shared" si="30"/>
        <v>1239200</v>
      </c>
      <c r="CD112" s="28">
        <f t="shared" si="30"/>
        <v>1129500</v>
      </c>
      <c r="CE112" s="28">
        <f t="shared" si="30"/>
        <v>14500000</v>
      </c>
      <c r="CF112" s="28">
        <f t="shared" si="30"/>
        <v>4500000</v>
      </c>
      <c r="CG112" s="28">
        <f t="shared" si="30"/>
        <v>106351</v>
      </c>
      <c r="CH112" s="29">
        <f>SUM(BN112:CG112)</f>
        <v>202034838</v>
      </c>
      <c r="CI112" s="28">
        <f>CI26+CI49+CI110+CI111+CI107</f>
        <v>0</v>
      </c>
    </row>
    <row r="113" spans="1:87" s="20" customFormat="1" ht="81.75" customHeight="1" x14ac:dyDescent="1.05">
      <c r="A113" s="16"/>
      <c r="B113" s="55"/>
      <c r="C113" s="17"/>
      <c r="D113" s="17"/>
      <c r="E113" s="19"/>
      <c r="F113" s="19"/>
      <c r="G113" s="19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X113" s="81"/>
      <c r="BY113" s="81"/>
      <c r="BZ113" s="81"/>
      <c r="CA113" s="157" t="s">
        <v>276</v>
      </c>
      <c r="CB113" s="157"/>
      <c r="CC113" s="81"/>
      <c r="CF113" s="84"/>
    </row>
    <row r="114" spans="1:87" s="23" customFormat="1" ht="78" customHeight="1" x14ac:dyDescent="1.05">
      <c r="A114" s="21"/>
      <c r="B114" s="56"/>
      <c r="C114" s="21"/>
      <c r="D114" s="21"/>
      <c r="E114" s="22"/>
      <c r="F114" s="22"/>
      <c r="G114" s="22"/>
      <c r="AO114" s="27"/>
      <c r="AP114" s="27"/>
      <c r="AS114" s="27"/>
      <c r="AT114" s="27"/>
      <c r="AU114" s="27"/>
      <c r="AV114" s="27"/>
      <c r="AY114" s="27"/>
      <c r="AZ114" s="27"/>
      <c r="BF114" s="27"/>
      <c r="BG114" s="27"/>
      <c r="BQ114" s="27"/>
      <c r="BR114" s="27"/>
      <c r="BS114" s="27"/>
      <c r="BT114" s="27"/>
      <c r="BU114" s="27"/>
      <c r="BX114" s="27"/>
      <c r="BY114" s="27"/>
      <c r="BZ114" s="27"/>
      <c r="CA114" s="158" t="s">
        <v>277</v>
      </c>
      <c r="CB114" s="158"/>
      <c r="CC114" s="27"/>
      <c r="CF114" s="84"/>
      <c r="CG114" s="27"/>
      <c r="CH114" s="27" t="s">
        <v>275</v>
      </c>
      <c r="CI114" s="27"/>
    </row>
    <row r="115" spans="1:87" ht="25.5" x14ac:dyDescent="0.35">
      <c r="A115" s="24"/>
      <c r="B115" s="24"/>
      <c r="C115" s="24"/>
      <c r="D115" s="24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BM115" s="26"/>
      <c r="BN115" s="26"/>
      <c r="BO115" s="26"/>
      <c r="BP115" s="26"/>
    </row>
    <row r="116" spans="1:87" ht="25.5" x14ac:dyDescent="0.35">
      <c r="A116" s="24"/>
      <c r="B116" s="24"/>
      <c r="C116" s="24"/>
      <c r="D116" s="24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BM116" s="26"/>
      <c r="BN116" s="26"/>
      <c r="BO116" s="26"/>
      <c r="BP116" s="26"/>
    </row>
    <row r="117" spans="1:87" ht="25.5" x14ac:dyDescent="0.35">
      <c r="A117" s="24"/>
      <c r="B117" s="24"/>
      <c r="C117" s="24"/>
      <c r="D117" s="24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BM117" s="26"/>
      <c r="BN117" s="26"/>
      <c r="BO117" s="26"/>
      <c r="BP117" s="26"/>
    </row>
    <row r="118" spans="1:87" s="26" customFormat="1" ht="59.25" x14ac:dyDescent="0.35">
      <c r="A118" s="32"/>
      <c r="B118" s="32"/>
      <c r="C118" s="32"/>
      <c r="D118" s="32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BM118" s="29">
        <v>11254535928.869999</v>
      </c>
      <c r="BN118" s="34"/>
      <c r="BO118" s="34"/>
      <c r="BP118" s="34"/>
    </row>
    <row r="119" spans="1:87" s="26" customFormat="1" ht="25.5" x14ac:dyDescent="0.35">
      <c r="A119" s="32"/>
      <c r="B119" s="32"/>
      <c r="C119" s="32"/>
      <c r="D119" s="32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</row>
    <row r="120" spans="1:87" s="26" customFormat="1" ht="59.25" x14ac:dyDescent="0.35">
      <c r="A120" s="32"/>
      <c r="B120" s="32"/>
      <c r="C120" s="32"/>
      <c r="D120" s="3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BM120" s="34">
        <f>BM118-BM112</f>
        <v>66856471.600000381</v>
      </c>
      <c r="CC120" s="29" t="s">
        <v>327</v>
      </c>
      <c r="CH120" s="60">
        <f>CI120+CJ120</f>
        <v>0</v>
      </c>
    </row>
    <row r="121" spans="1:87" s="26" customFormat="1" ht="59.25" x14ac:dyDescent="0.35">
      <c r="A121" s="32"/>
      <c r="B121" s="32"/>
      <c r="C121" s="32"/>
      <c r="D121" s="32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CC121" s="26" t="s">
        <v>326</v>
      </c>
      <c r="CH121" s="29"/>
    </row>
    <row r="122" spans="1:87" s="26" customFormat="1" ht="59.25" x14ac:dyDescent="0.35">
      <c r="A122" s="32"/>
      <c r="B122" s="32"/>
      <c r="C122" s="32"/>
      <c r="D122" s="32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BM122" s="59"/>
      <c r="CH122" s="29">
        <v>202034838</v>
      </c>
    </row>
    <row r="123" spans="1:87" s="26" customFormat="1" ht="59.25" x14ac:dyDescent="0.35">
      <c r="A123" s="32"/>
      <c r="B123" s="32"/>
      <c r="C123" s="32"/>
      <c r="D123" s="32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CH123" s="29"/>
    </row>
    <row r="124" spans="1:87" s="26" customFormat="1" ht="59.25" x14ac:dyDescent="0.35">
      <c r="A124" s="32"/>
      <c r="B124" s="32"/>
      <c r="C124" s="32"/>
      <c r="D124" s="32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CH124" s="29">
        <f>CH122-CH112</f>
        <v>0</v>
      </c>
    </row>
    <row r="125" spans="1:87" s="26" customFormat="1" ht="25.5" x14ac:dyDescent="0.35">
      <c r="A125" s="32"/>
      <c r="B125" s="32"/>
      <c r="C125" s="32"/>
      <c r="D125" s="32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</row>
    <row r="126" spans="1:87" s="26" customFormat="1" ht="25.5" x14ac:dyDescent="0.35">
      <c r="A126" s="32"/>
      <c r="B126" s="32"/>
      <c r="C126" s="32"/>
      <c r="D126" s="32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</row>
    <row r="127" spans="1:87" ht="25.5" x14ac:dyDescent="0.35">
      <c r="A127" s="24"/>
      <c r="B127" s="24"/>
      <c r="C127" s="24"/>
      <c r="D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</row>
    <row r="128" spans="1:87" ht="25.5" x14ac:dyDescent="0.35">
      <c r="A128" s="24"/>
      <c r="B128" s="24"/>
      <c r="C128" s="24"/>
      <c r="D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</row>
    <row r="129" spans="1:49" ht="25.5" x14ac:dyDescent="0.35">
      <c r="A129" s="24"/>
      <c r="B129" s="24"/>
      <c r="C129" s="24"/>
      <c r="D129" s="2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</row>
    <row r="130" spans="1:49" ht="25.5" x14ac:dyDescent="0.35">
      <c r="A130" s="24"/>
      <c r="B130" s="24"/>
      <c r="C130" s="24"/>
      <c r="D130" s="24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</row>
    <row r="131" spans="1:49" ht="25.5" x14ac:dyDescent="0.35">
      <c r="A131" s="24"/>
      <c r="B131" s="24"/>
      <c r="C131" s="24"/>
      <c r="D131" s="2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</row>
    <row r="132" spans="1:49" x14ac:dyDescent="0.2"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</row>
    <row r="133" spans="1:49" x14ac:dyDescent="0.2"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</row>
    <row r="134" spans="1:49" x14ac:dyDescent="0.2"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</row>
    <row r="135" spans="1:49" x14ac:dyDescent="0.2"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</row>
    <row r="136" spans="1:49" x14ac:dyDescent="0.2"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</row>
    <row r="137" spans="1:49" x14ac:dyDescent="0.2"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</row>
    <row r="138" spans="1:49" x14ac:dyDescent="0.2"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</row>
    <row r="139" spans="1:49" x14ac:dyDescent="0.2"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</row>
    <row r="140" spans="1:49" x14ac:dyDescent="0.2"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</row>
    <row r="141" spans="1:49" x14ac:dyDescent="0.2"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</row>
    <row r="142" spans="1:49" x14ac:dyDescent="0.2"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</row>
    <row r="143" spans="1:49" x14ac:dyDescent="0.2"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</row>
    <row r="144" spans="1:49" x14ac:dyDescent="0.2"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</row>
    <row r="145" spans="8:49" x14ac:dyDescent="0.2"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</row>
    <row r="146" spans="8:49" x14ac:dyDescent="0.2"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</row>
    <row r="147" spans="8:49" x14ac:dyDescent="0.2"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</row>
    <row r="148" spans="8:49" x14ac:dyDescent="0.2"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</row>
    <row r="149" spans="8:49" x14ac:dyDescent="0.2"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</row>
    <row r="150" spans="8:49" x14ac:dyDescent="0.2"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</row>
    <row r="151" spans="8:49" x14ac:dyDescent="0.2"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</row>
    <row r="152" spans="8:49" x14ac:dyDescent="0.2"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</row>
    <row r="153" spans="8:49" x14ac:dyDescent="0.2"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</row>
    <row r="154" spans="8:49" x14ac:dyDescent="0.2"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</row>
    <row r="155" spans="8:49" x14ac:dyDescent="0.2"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</row>
    <row r="156" spans="8:49" x14ac:dyDescent="0.2"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</row>
    <row r="157" spans="8:49" x14ac:dyDescent="0.2"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</row>
    <row r="158" spans="8:49" x14ac:dyDescent="0.2"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</row>
    <row r="159" spans="8:49" x14ac:dyDescent="0.2"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</row>
    <row r="160" spans="8:49" x14ac:dyDescent="0.2"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</row>
    <row r="161" spans="8:49" x14ac:dyDescent="0.2"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</row>
    <row r="162" spans="8:49" x14ac:dyDescent="0.2"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</row>
    <row r="163" spans="8:49" x14ac:dyDescent="0.2"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</row>
    <row r="164" spans="8:49" x14ac:dyDescent="0.2"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</row>
    <row r="165" spans="8:49" x14ac:dyDescent="0.2"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</row>
    <row r="166" spans="8:49" x14ac:dyDescent="0.2"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</row>
    <row r="167" spans="8:49" x14ac:dyDescent="0.2"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</row>
    <row r="168" spans="8:49" x14ac:dyDescent="0.2"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</row>
    <row r="169" spans="8:49" x14ac:dyDescent="0.2"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</row>
    <row r="170" spans="8:49" x14ac:dyDescent="0.2"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</row>
    <row r="171" spans="8:49" x14ac:dyDescent="0.2"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</row>
    <row r="172" spans="8:49" x14ac:dyDescent="0.2"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</row>
    <row r="173" spans="8:49" x14ac:dyDescent="0.2"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</row>
    <row r="174" spans="8:49" x14ac:dyDescent="0.2"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</row>
    <row r="175" spans="8:49" x14ac:dyDescent="0.2"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</row>
    <row r="176" spans="8:49" x14ac:dyDescent="0.2"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</row>
    <row r="177" spans="8:49" x14ac:dyDescent="0.2"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</row>
    <row r="178" spans="8:49" x14ac:dyDescent="0.2"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</row>
    <row r="179" spans="8:49" x14ac:dyDescent="0.2"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</row>
    <row r="180" spans="8:49" x14ac:dyDescent="0.2"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</row>
    <row r="181" spans="8:49" x14ac:dyDescent="0.2"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</row>
    <row r="182" spans="8:49" x14ac:dyDescent="0.2"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</row>
    <row r="183" spans="8:49" x14ac:dyDescent="0.2"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</row>
    <row r="184" spans="8:49" x14ac:dyDescent="0.2"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</row>
    <row r="185" spans="8:49" x14ac:dyDescent="0.2"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</row>
    <row r="186" spans="8:49" x14ac:dyDescent="0.2"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</row>
    <row r="187" spans="8:49" x14ac:dyDescent="0.2"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</row>
    <row r="188" spans="8:49" x14ac:dyDescent="0.2"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</row>
    <row r="189" spans="8:49" x14ac:dyDescent="0.2"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</row>
    <row r="190" spans="8:49" x14ac:dyDescent="0.2"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</row>
    <row r="191" spans="8:49" x14ac:dyDescent="0.2"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</row>
    <row r="192" spans="8:49" x14ac:dyDescent="0.2"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</row>
    <row r="193" spans="8:49" x14ac:dyDescent="0.2"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</row>
    <row r="194" spans="8:49" x14ac:dyDescent="0.2"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</row>
    <row r="195" spans="8:49" x14ac:dyDescent="0.2"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</row>
    <row r="196" spans="8:49" x14ac:dyDescent="0.2"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</row>
    <row r="197" spans="8:49" x14ac:dyDescent="0.2"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</row>
    <row r="198" spans="8:49" x14ac:dyDescent="0.2"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</row>
    <row r="199" spans="8:49" x14ac:dyDescent="0.2"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</row>
    <row r="200" spans="8:49" x14ac:dyDescent="0.2"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</row>
    <row r="201" spans="8:49" x14ac:dyDescent="0.2"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</row>
    <row r="202" spans="8:49" x14ac:dyDescent="0.2"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</row>
    <row r="203" spans="8:49" x14ac:dyDescent="0.2"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</row>
    <row r="204" spans="8:49" x14ac:dyDescent="0.2"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</row>
    <row r="205" spans="8:49" x14ac:dyDescent="0.2"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</row>
    <row r="206" spans="8:49" x14ac:dyDescent="0.2"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</row>
    <row r="207" spans="8:49" x14ac:dyDescent="0.2"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</row>
    <row r="208" spans="8:49" x14ac:dyDescent="0.2"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</row>
    <row r="209" spans="8:49" x14ac:dyDescent="0.2"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</row>
    <row r="210" spans="8:49" x14ac:dyDescent="0.2"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</row>
    <row r="211" spans="8:49" x14ac:dyDescent="0.2"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</row>
    <row r="212" spans="8:49" x14ac:dyDescent="0.2"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</row>
    <row r="213" spans="8:49" x14ac:dyDescent="0.2"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</row>
    <row r="214" spans="8:49" x14ac:dyDescent="0.2"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</row>
    <row r="215" spans="8:49" x14ac:dyDescent="0.2"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</row>
    <row r="216" spans="8:49" x14ac:dyDescent="0.2"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</row>
    <row r="217" spans="8:49" x14ac:dyDescent="0.2"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</row>
    <row r="218" spans="8:49" x14ac:dyDescent="0.2"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</row>
    <row r="219" spans="8:49" x14ac:dyDescent="0.2"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</row>
    <row r="220" spans="8:49" x14ac:dyDescent="0.2"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</row>
    <row r="221" spans="8:49" x14ac:dyDescent="0.2"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</row>
    <row r="222" spans="8:49" x14ac:dyDescent="0.2"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</row>
    <row r="223" spans="8:49" x14ac:dyDescent="0.2"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</row>
    <row r="224" spans="8:49" x14ac:dyDescent="0.2"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</row>
    <row r="225" spans="8:49" x14ac:dyDescent="0.2"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</row>
    <row r="226" spans="8:49" x14ac:dyDescent="0.2"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</row>
    <row r="227" spans="8:49" x14ac:dyDescent="0.2"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</row>
    <row r="228" spans="8:49" x14ac:dyDescent="0.2"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</row>
    <row r="229" spans="8:49" x14ac:dyDescent="0.2"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</row>
    <row r="230" spans="8:49" x14ac:dyDescent="0.2"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</row>
    <row r="231" spans="8:49" x14ac:dyDescent="0.2"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</row>
    <row r="232" spans="8:49" x14ac:dyDescent="0.2"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</row>
    <row r="233" spans="8:49" x14ac:dyDescent="0.2"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</row>
    <row r="234" spans="8:49" x14ac:dyDescent="0.2"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</row>
    <row r="235" spans="8:49" x14ac:dyDescent="0.2"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</row>
    <row r="236" spans="8:49" x14ac:dyDescent="0.2"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</row>
    <row r="237" spans="8:49" x14ac:dyDescent="0.2"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</row>
    <row r="238" spans="8:49" x14ac:dyDescent="0.2"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</row>
    <row r="239" spans="8:49" x14ac:dyDescent="0.2"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</row>
    <row r="240" spans="8:49" x14ac:dyDescent="0.2"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</row>
    <row r="241" spans="8:49" x14ac:dyDescent="0.2"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</row>
    <row r="242" spans="8:49" x14ac:dyDescent="0.2"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</row>
    <row r="243" spans="8:49" x14ac:dyDescent="0.2"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</row>
    <row r="244" spans="8:49" x14ac:dyDescent="0.2"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</row>
    <row r="245" spans="8:49" x14ac:dyDescent="0.2"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</row>
    <row r="246" spans="8:49" x14ac:dyDescent="0.2"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</row>
    <row r="247" spans="8:49" x14ac:dyDescent="0.2"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</row>
    <row r="248" spans="8:49" x14ac:dyDescent="0.2"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</row>
    <row r="249" spans="8:49" x14ac:dyDescent="0.2"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</row>
    <row r="250" spans="8:49" x14ac:dyDescent="0.2"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</row>
    <row r="251" spans="8:49" x14ac:dyDescent="0.2"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</row>
    <row r="252" spans="8:49" x14ac:dyDescent="0.2"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</row>
    <row r="253" spans="8:49" x14ac:dyDescent="0.2"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</row>
    <row r="254" spans="8:49" x14ac:dyDescent="0.2"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</row>
    <row r="255" spans="8:49" x14ac:dyDescent="0.2"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</row>
    <row r="256" spans="8:49" x14ac:dyDescent="0.2"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</row>
    <row r="257" spans="8:49" x14ac:dyDescent="0.2"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</row>
    <row r="258" spans="8:49" x14ac:dyDescent="0.2"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</row>
    <row r="259" spans="8:49" x14ac:dyDescent="0.2"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</row>
    <row r="260" spans="8:49" x14ac:dyDescent="0.2"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</row>
    <row r="261" spans="8:49" x14ac:dyDescent="0.2"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</row>
    <row r="262" spans="8:49" x14ac:dyDescent="0.2"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</row>
    <row r="263" spans="8:49" x14ac:dyDescent="0.2"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</row>
    <row r="264" spans="8:49" x14ac:dyDescent="0.2"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</row>
    <row r="265" spans="8:49" x14ac:dyDescent="0.2"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</row>
    <row r="266" spans="8:49" x14ac:dyDescent="0.2"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</row>
  </sheetData>
  <sheetProtection selectLockedCells="1" selectUnlockedCells="1"/>
  <mergeCells count="154">
    <mergeCell ref="CA8:CG8"/>
    <mergeCell ref="CC7:CG7"/>
    <mergeCell ref="CA6:CG6"/>
    <mergeCell ref="BW9:BZ9"/>
    <mergeCell ref="CA9:CC9"/>
    <mergeCell ref="BU7:BZ7"/>
    <mergeCell ref="CA7:CB7"/>
    <mergeCell ref="BI7:BL7"/>
    <mergeCell ref="BI8:BL8"/>
    <mergeCell ref="AM7:AP7"/>
    <mergeCell ref="BN6:BR6"/>
    <mergeCell ref="BN8:BR8"/>
    <mergeCell ref="BS7:BT7"/>
    <mergeCell ref="BS8:BT8"/>
    <mergeCell ref="BS6:BZ6"/>
    <mergeCell ref="BU8:BZ8"/>
    <mergeCell ref="BU9:BV9"/>
    <mergeCell ref="CA113:CB113"/>
    <mergeCell ref="CA114:CB114"/>
    <mergeCell ref="BZ10:BZ12"/>
    <mergeCell ref="BY10:BY12"/>
    <mergeCell ref="CA10:CA12"/>
    <mergeCell ref="BV10:BV12"/>
    <mergeCell ref="BW10:BW12"/>
    <mergeCell ref="BU10:BU12"/>
    <mergeCell ref="CB10:CC12"/>
    <mergeCell ref="CF10:CF12"/>
    <mergeCell ref="CD9:CF9"/>
    <mergeCell ref="CG10:CG12"/>
    <mergeCell ref="AQ6:AW6"/>
    <mergeCell ref="AQ8:AW8"/>
    <mergeCell ref="AX6:AZ6"/>
    <mergeCell ref="AX7:AZ7"/>
    <mergeCell ref="AY8:AZ8"/>
    <mergeCell ref="BG7:BH7"/>
    <mergeCell ref="AR9:AU9"/>
    <mergeCell ref="AH6:AL6"/>
    <mergeCell ref="W6:AG6"/>
    <mergeCell ref="BN7:BQ7"/>
    <mergeCell ref="AH8:AL8"/>
    <mergeCell ref="BA7:BF7"/>
    <mergeCell ref="BA6:BH6"/>
    <mergeCell ref="BA8:BH8"/>
    <mergeCell ref="AM6:AP6"/>
    <mergeCell ref="AM8:AP8"/>
    <mergeCell ref="AQ7:AW7"/>
    <mergeCell ref="T6:V6"/>
    <mergeCell ref="T8:V8"/>
    <mergeCell ref="O6:S6"/>
    <mergeCell ref="O7:S7"/>
    <mergeCell ref="O8:S8"/>
    <mergeCell ref="T7:U7"/>
    <mergeCell ref="AG11:AG12"/>
    <mergeCell ref="AF10:AG10"/>
    <mergeCell ref="AN10:AN12"/>
    <mergeCell ref="AK11:AK12"/>
    <mergeCell ref="AH10:AH12"/>
    <mergeCell ref="AJ11:AJ12"/>
    <mergeCell ref="AI11:AI12"/>
    <mergeCell ref="AH7:AL7"/>
    <mergeCell ref="AF7:AG7"/>
    <mergeCell ref="W8:AG8"/>
    <mergeCell ref="W9:AD9"/>
    <mergeCell ref="Y7:AD7"/>
    <mergeCell ref="AE9:AG9"/>
    <mergeCell ref="AY9:AZ9"/>
    <mergeCell ref="AS10:AS12"/>
    <mergeCell ref="AZ10:AZ12"/>
    <mergeCell ref="AW10:AW12"/>
    <mergeCell ref="AT11:AT12"/>
    <mergeCell ref="AH9:AL9"/>
    <mergeCell ref="AT10:AU10"/>
    <mergeCell ref="AU11:AU12"/>
    <mergeCell ref="AX10:AX12"/>
    <mergeCell ref="AV10:AV12"/>
    <mergeCell ref="AP10:AP12"/>
    <mergeCell ref="AQ10:AQ12"/>
    <mergeCell ref="AL11:AL12"/>
    <mergeCell ref="AM10:AM12"/>
    <mergeCell ref="BC10:BC12"/>
    <mergeCell ref="BB10:BB12"/>
    <mergeCell ref="BM6:BM12"/>
    <mergeCell ref="BN10:BN12"/>
    <mergeCell ref="BI10:BI12"/>
    <mergeCell ref="AR10:AR12"/>
    <mergeCell ref="AY10:AY12"/>
    <mergeCell ref="AO10:AO12"/>
    <mergeCell ref="BG9:BH9"/>
    <mergeCell ref="BG10:BG12"/>
    <mergeCell ref="BS10:BS12"/>
    <mergeCell ref="BF10:BF12"/>
    <mergeCell ref="BA9:BC9"/>
    <mergeCell ref="AE10:AE12"/>
    <mergeCell ref="AF11:AF12"/>
    <mergeCell ref="AI10:AL10"/>
    <mergeCell ref="BH10:BH12"/>
    <mergeCell ref="BE10:BE12"/>
    <mergeCell ref="BO10:BO12"/>
    <mergeCell ref="BJ10:BK12"/>
    <mergeCell ref="BL10:BL12"/>
    <mergeCell ref="BQ10:BR12"/>
    <mergeCell ref="BP10:BP12"/>
    <mergeCell ref="BA10:BA12"/>
    <mergeCell ref="BD10:BD12"/>
    <mergeCell ref="J10:J12"/>
    <mergeCell ref="R10:R12"/>
    <mergeCell ref="K10:K12"/>
    <mergeCell ref="S10:S12"/>
    <mergeCell ref="L11:L12"/>
    <mergeCell ref="L10:N10"/>
    <mergeCell ref="Q10:Q12"/>
    <mergeCell ref="P10:P12"/>
    <mergeCell ref="O10:O12"/>
    <mergeCell ref="M11:M12"/>
    <mergeCell ref="V10:V12"/>
    <mergeCell ref="U10:U12"/>
    <mergeCell ref="T10:T12"/>
    <mergeCell ref="Y11:Y12"/>
    <mergeCell ref="X10:AD10"/>
    <mergeCell ref="Z11:Z12"/>
    <mergeCell ref="AA11:AA12"/>
    <mergeCell ref="AB11:AB12"/>
    <mergeCell ref="X11:X12"/>
    <mergeCell ref="AC11:AC12"/>
    <mergeCell ref="AD11:AD12"/>
    <mergeCell ref="W10:W12"/>
    <mergeCell ref="I8:N8"/>
    <mergeCell ref="F1:G1"/>
    <mergeCell ref="F2:G2"/>
    <mergeCell ref="H7:N7"/>
    <mergeCell ref="D6:G6"/>
    <mergeCell ref="C4:G4"/>
    <mergeCell ref="C3:F3"/>
    <mergeCell ref="H6:N6"/>
    <mergeCell ref="H10:H12"/>
    <mergeCell ref="A6:A12"/>
    <mergeCell ref="B6:B12"/>
    <mergeCell ref="E10:E12"/>
    <mergeCell ref="C10:C12"/>
    <mergeCell ref="C7:G7"/>
    <mergeCell ref="G10:G12"/>
    <mergeCell ref="D10:D12"/>
    <mergeCell ref="F10:F12"/>
    <mergeCell ref="E8:G8"/>
    <mergeCell ref="N11:N12"/>
    <mergeCell ref="I10:I12"/>
    <mergeCell ref="K9:N9"/>
    <mergeCell ref="CH6:CH12"/>
    <mergeCell ref="CE10:CE12"/>
    <mergeCell ref="BX10:BX12"/>
    <mergeCell ref="BI6:BL6"/>
    <mergeCell ref="BT10:BT12"/>
    <mergeCell ref="BQ9:BR9"/>
    <mergeCell ref="CD10:CD12"/>
  </mergeCells>
  <phoneticPr fontId="0" type="noConversion"/>
  <printOptions horizontalCentered="1"/>
  <pageMargins left="0.6692913385826772" right="0.35433070866141736" top="0.42" bottom="0.69" header="0" footer="0"/>
  <pageSetup paperSize="9" scale="10" firstPageNumber="0" fitToWidth="0" fitToHeight="0" orientation="portrait" horizontalDpi="300" verticalDpi="300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2018-09-17T08:14:27Z</cp:lastPrinted>
  <dcterms:created xsi:type="dcterms:W3CDTF">2015-09-22T09:14:37Z</dcterms:created>
  <dcterms:modified xsi:type="dcterms:W3CDTF">2018-09-18T08:51:39Z</dcterms:modified>
</cp:coreProperties>
</file>