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0" windowWidth="10890" windowHeight="9765"/>
  </bookViews>
  <sheets>
    <sheet name="7" sheetId="21" r:id="rId1"/>
  </sheets>
  <definedNames>
    <definedName name="_GoBack" localSheetId="0">'7'!#REF!</definedName>
    <definedName name="_xlnm._FilterDatabase" localSheetId="0" hidden="1">'7'!$A$7:$I$855</definedName>
    <definedName name="Z_48EF5860_4203_47F1_8497_6BEAE9FC7DAC_.wvu.Cols" localSheetId="0" hidden="1">'7'!#REF!</definedName>
    <definedName name="Z_48EF5860_4203_47F1_8497_6BEAE9FC7DAC_.wvu.PrintArea" localSheetId="0" hidden="1">'7'!$A$1:$I$857</definedName>
    <definedName name="Z_48EF5860_4203_47F1_8497_6BEAE9FC7DAC_.wvu.PrintTitles" localSheetId="0" hidden="1">'7'!$D:$E,'7'!#REF!</definedName>
    <definedName name="Z_96E2A35E_4A48_419F_9E38_8CEFA5D27C66_.wvu.Cols" localSheetId="0" hidden="1">'7'!#REF!</definedName>
    <definedName name="Z_96E2A35E_4A48_419F_9E38_8CEFA5D27C66_.wvu.PrintArea" localSheetId="0" hidden="1">'7'!$A$1:$I$857</definedName>
    <definedName name="Z_96E2A35E_4A48_419F_9E38_8CEFA5D27C66_.wvu.PrintTitles" localSheetId="0" hidden="1">'7'!$D:$E,'7'!#REF!</definedName>
    <definedName name="Z_ABBD498D_3D2F_4E62_985A_EF1DC4D9DC47_.wvu.Cols" localSheetId="0" hidden="1">'7'!#REF!</definedName>
    <definedName name="Z_ABBD498D_3D2F_4E62_985A_EF1DC4D9DC47_.wvu.PrintArea" localSheetId="0" hidden="1">'7'!$A$1:$I$857</definedName>
    <definedName name="Z_ABBD498D_3D2F_4E62_985A_EF1DC4D9DC47_.wvu.PrintTitles" localSheetId="0" hidden="1">'7'!$D:$E,'7'!#REF!</definedName>
    <definedName name="Z_D712F871_6858_44B8_AA22_8F2C734047E2_.wvu.Cols" localSheetId="0" hidden="1">'7'!#REF!</definedName>
    <definedName name="Z_D712F871_6858_44B8_AA22_8F2C734047E2_.wvu.PrintArea" localSheetId="0" hidden="1">'7'!$A$1:$I$857</definedName>
    <definedName name="Z_D712F871_6858_44B8_AA22_8F2C734047E2_.wvu.PrintTitles" localSheetId="0" hidden="1">'7'!$D:$E,'7'!#REF!</definedName>
    <definedName name="Z_E02D48B6_D0D9_4E6E_B70D_8E13580A6528_.wvu.Cols" localSheetId="0" hidden="1">'7'!#REF!</definedName>
    <definedName name="Z_E02D48B6_D0D9_4E6E_B70D_8E13580A6528_.wvu.PrintArea" localSheetId="0" hidden="1">'7'!$A$1:$I$857</definedName>
    <definedName name="Z_E02D48B6_D0D9_4E6E_B70D_8E13580A6528_.wvu.PrintTitles" localSheetId="0" hidden="1">'7'!$D:$E,'7'!#REF!</definedName>
    <definedName name="_xlnm.Print_Titles" localSheetId="0">'7'!$6:$7</definedName>
    <definedName name="_xlnm.Print_Area" localSheetId="0">'7'!$A$1:$I$857</definedName>
  </definedNames>
  <calcPr calcId="144525" fullCalcOnLoad="1"/>
  <customWorkbookViews>
    <customWorkbookView name="04Chebotareva - Личное представление" guid="{ABBD498D-3D2F-4E62-985A-EF1DC4D9DC47}" mergeInterval="0" personalView="1" maximized="1" windowWidth="1276" windowHeight="769"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Shvedun - Личное представление" guid="{48EF5860-4203-47F1-8497-6BEAE9FC7DAC}" mergeInterval="0" personalView="1" maximized="1" windowWidth="1276" windowHeight="766" activeSheetId="3"/>
    <customWorkbookView name="04Gavriluk - Личное представление" guid="{96E2A35E-4A48-419F-9E38-8CEFA5D27C66}" mergeInterval="0" personalView="1" maximized="1" windowWidth="1276" windowHeight="791" activeSheetId="6"/>
    <customWorkbookView name="04Gemchugova - Личное представление" guid="{E02D48B6-D0D9-4E6E-B70D-8E13580A6528}" mergeInterval="0" personalView="1" maximized="1" windowWidth="1916" windowHeight="827" activeSheetId="2"/>
  </customWorkbookViews>
</workbook>
</file>

<file path=xl/calcChain.xml><?xml version="1.0" encoding="utf-8"?>
<calcChain xmlns="http://schemas.openxmlformats.org/spreadsheetml/2006/main">
  <c r="I16" i="21" l="1"/>
  <c r="I294" i="21"/>
  <c r="I352" i="21"/>
  <c r="I358" i="21"/>
  <c r="I349" i="21" s="1"/>
  <c r="I348" i="21" s="1"/>
  <c r="I361" i="21"/>
  <c r="I345" i="21"/>
  <c r="I347" i="21"/>
  <c r="I343" i="21"/>
  <c r="I326" i="21"/>
  <c r="I327" i="21"/>
  <c r="I331" i="21"/>
  <c r="I332" i="21"/>
  <c r="I333" i="21"/>
  <c r="I334" i="21"/>
  <c r="I336" i="21"/>
  <c r="I335" i="21"/>
  <c r="I338" i="21"/>
  <c r="I340" i="21"/>
  <c r="I339" i="21" s="1"/>
  <c r="I342" i="21"/>
  <c r="I341" i="21" s="1"/>
  <c r="I366" i="21"/>
  <c r="I368" i="21"/>
  <c r="I369" i="21"/>
  <c r="I364" i="21" s="1"/>
  <c r="I370" i="21"/>
  <c r="I371" i="21"/>
  <c r="I372" i="21"/>
  <c r="I373" i="21"/>
  <c r="I378" i="21"/>
  <c r="I379" i="21"/>
  <c r="I384" i="21"/>
  <c r="I385" i="21"/>
  <c r="I386" i="21"/>
  <c r="I387" i="21"/>
  <c r="I389" i="21"/>
  <c r="I390" i="21"/>
  <c r="I391" i="21"/>
  <c r="I392" i="21"/>
  <c r="I393" i="21"/>
  <c r="I394" i="21"/>
  <c r="I400" i="21"/>
  <c r="I404" i="21"/>
  <c r="I405" i="21"/>
  <c r="I406" i="21"/>
  <c r="I407" i="21"/>
  <c r="I408" i="21"/>
  <c r="I409" i="21"/>
  <c r="I411" i="21"/>
  <c r="I413" i="21"/>
  <c r="I414" i="21"/>
  <c r="I417" i="21"/>
  <c r="I418" i="21"/>
  <c r="I419" i="21"/>
  <c r="I421" i="21"/>
  <c r="I422" i="21"/>
  <c r="I423" i="21"/>
  <c r="I424" i="21"/>
  <c r="I425" i="21"/>
  <c r="I427" i="21"/>
  <c r="I430" i="21"/>
  <c r="I431" i="21"/>
  <c r="I432" i="21"/>
  <c r="I433" i="21"/>
  <c r="I434" i="21"/>
  <c r="I436" i="21"/>
  <c r="I439" i="21"/>
  <c r="I440" i="21"/>
  <c r="I441" i="21"/>
  <c r="I444" i="21"/>
  <c r="I446" i="21"/>
  <c r="I448" i="21"/>
  <c r="I449" i="21"/>
  <c r="I453" i="21"/>
  <c r="I455" i="21"/>
  <c r="I456" i="21"/>
  <c r="I458" i="21"/>
  <c r="I459" i="21"/>
  <c r="I460" i="21"/>
  <c r="I462" i="21"/>
  <c r="I464" i="21"/>
  <c r="I465" i="21"/>
  <c r="I467" i="21"/>
  <c r="I469" i="21"/>
  <c r="I470" i="21"/>
  <c r="I472" i="21"/>
  <c r="I473" i="21"/>
  <c r="I475" i="21"/>
  <c r="I476" i="21"/>
  <c r="I479" i="21"/>
  <c r="I480" i="21"/>
  <c r="I482" i="21"/>
  <c r="I485" i="21"/>
  <c r="I486" i="21"/>
  <c r="I491" i="21"/>
  <c r="I487" i="21" s="1"/>
  <c r="I492" i="21"/>
  <c r="I497" i="21"/>
  <c r="I498" i="21"/>
  <c r="I500" i="21"/>
  <c r="I508" i="21"/>
  <c r="I489" i="21"/>
  <c r="I494" i="21"/>
  <c r="I496" i="21"/>
  <c r="I506" i="21"/>
  <c r="I510" i="21"/>
  <c r="I513" i="21"/>
  <c r="I522" i="21"/>
  <c r="I518" i="21"/>
  <c r="I527" i="21"/>
  <c r="I528" i="21"/>
  <c r="I529" i="21"/>
  <c r="I530" i="21"/>
  <c r="I533" i="21"/>
  <c r="I535" i="21"/>
  <c r="I536" i="21"/>
  <c r="I538" i="21"/>
  <c r="I539" i="21"/>
  <c r="I541" i="21"/>
  <c r="I543" i="21"/>
  <c r="I549" i="21"/>
  <c r="I553" i="21"/>
  <c r="I554" i="21"/>
  <c r="I556" i="21"/>
  <c r="I557" i="21"/>
  <c r="I559" i="21"/>
  <c r="I562" i="21"/>
  <c r="I566" i="21"/>
  <c r="I570" i="21"/>
  <c r="I571" i="21"/>
  <c r="I574" i="21"/>
  <c r="I576" i="21"/>
  <c r="I578" i="21"/>
  <c r="I579" i="21"/>
  <c r="I581" i="21"/>
  <c r="I583" i="21"/>
  <c r="I523" i="21"/>
  <c r="I610" i="21"/>
  <c r="I604" i="21"/>
  <c r="I625" i="21"/>
  <c r="I673" i="21"/>
  <c r="I681" i="21"/>
  <c r="I685" i="21"/>
  <c r="I692" i="21"/>
  <c r="I631" i="21"/>
  <c r="I670" i="21"/>
  <c r="I621" i="21"/>
  <c r="I789" i="21"/>
  <c r="I797" i="21"/>
  <c r="I788" i="21" s="1"/>
  <c r="I813" i="21"/>
  <c r="I807" i="21"/>
  <c r="I615" i="21"/>
  <c r="I619" i="21"/>
  <c r="I613" i="21" s="1"/>
  <c r="I712" i="21"/>
  <c r="I715" i="21"/>
  <c r="I720" i="21"/>
  <c r="I722" i="21"/>
  <c r="I711" i="21" s="1"/>
  <c r="I724" i="21"/>
  <c r="I730" i="21"/>
  <c r="I733" i="21"/>
  <c r="I736" i="21"/>
  <c r="I587" i="21"/>
  <c r="I589" i="21"/>
  <c r="I591" i="21"/>
  <c r="I585" i="21" s="1"/>
  <c r="I593" i="21"/>
  <c r="I595" i="21"/>
  <c r="I600" i="21"/>
  <c r="I598" i="21"/>
  <c r="I337" i="21"/>
  <c r="I821" i="21"/>
  <c r="I819" i="21" s="1"/>
  <c r="I119" i="21"/>
  <c r="I118" i="21" s="1"/>
  <c r="I115" i="21" s="1"/>
  <c r="I108" i="21" s="1"/>
  <c r="I107" i="21" s="1"/>
  <c r="I122" i="21"/>
  <c r="I126" i="21"/>
  <c r="I48" i="21"/>
  <c r="I45" i="21" s="1"/>
  <c r="I44" i="21" s="1"/>
  <c r="I40" i="21"/>
  <c r="I111" i="21"/>
  <c r="I814" i="21"/>
  <c r="I686" i="21"/>
  <c r="I32" i="21"/>
  <c r="I73" i="21"/>
  <c r="I74" i="21"/>
  <c r="I75" i="21"/>
  <c r="I70" i="21" s="1"/>
  <c r="I69" i="21" s="1"/>
  <c r="I77" i="21"/>
  <c r="I78" i="21"/>
  <c r="I81" i="21"/>
  <c r="I91" i="21"/>
  <c r="I65" i="21"/>
  <c r="I61" i="21"/>
  <c r="I59" i="21"/>
  <c r="I56" i="21"/>
  <c r="I109" i="21"/>
  <c r="I110" i="21"/>
  <c r="I113" i="21"/>
  <c r="I114" i="21"/>
  <c r="I117" i="21"/>
  <c r="I116" i="21"/>
  <c r="I112" i="21"/>
  <c r="I740" i="21"/>
  <c r="I146" i="21"/>
  <c r="I153" i="21"/>
  <c r="I159" i="21"/>
  <c r="I141" i="21" s="1"/>
  <c r="I142" i="21"/>
  <c r="I147" i="21"/>
  <c r="I170" i="21"/>
  <c r="I177" i="21"/>
  <c r="I182" i="21"/>
  <c r="I169" i="21" s="1"/>
  <c r="I183" i="21"/>
  <c r="I199" i="21"/>
  <c r="I203" i="21"/>
  <c r="I206" i="21"/>
  <c r="I235" i="21"/>
  <c r="I229" i="21"/>
  <c r="I237" i="21"/>
  <c r="I243" i="21"/>
  <c r="I249" i="21"/>
  <c r="I236" i="21" s="1"/>
  <c r="I228" i="21" s="1"/>
  <c r="I254" i="21"/>
  <c r="I263" i="21"/>
  <c r="I266" i="21"/>
  <c r="I273" i="21"/>
  <c r="I260" i="21"/>
  <c r="I268" i="21"/>
  <c r="I284" i="21"/>
  <c r="I282" i="21"/>
  <c r="I276" i="21"/>
  <c r="I275" i="21"/>
  <c r="I302" i="21"/>
  <c r="I304" i="21"/>
  <c r="I293" i="21" s="1"/>
  <c r="I292" i="21" s="1"/>
  <c r="I305" i="21"/>
  <c r="I307" i="21"/>
  <c r="I309" i="21"/>
  <c r="I310" i="21"/>
  <c r="I311" i="21"/>
  <c r="I297" i="21"/>
  <c r="I312" i="21"/>
  <c r="I313" i="21"/>
  <c r="I139" i="21"/>
  <c r="I136" i="21"/>
  <c r="I226" i="21"/>
  <c r="I321" i="21"/>
  <c r="I103" i="21"/>
  <c r="I97" i="21"/>
  <c r="I95" i="21"/>
  <c r="I96" i="21"/>
  <c r="I94" i="21" s="1"/>
  <c r="I98" i="21"/>
  <c r="I104" i="21"/>
  <c r="I105" i="21"/>
  <c r="I102" i="21" s="1"/>
  <c r="I101" i="21" s="1"/>
  <c r="I99" i="21"/>
  <c r="I29" i="21"/>
  <c r="I55" i="21"/>
  <c r="I52" i="21"/>
  <c r="I50" i="21" s="1"/>
  <c r="I36" i="21"/>
  <c r="I67" i="21"/>
  <c r="I131" i="21"/>
  <c r="I129" i="21" s="1"/>
  <c r="I128" i="21" s="1"/>
  <c r="I127" i="21" s="1"/>
  <c r="I132" i="21"/>
  <c r="I89" i="21"/>
  <c r="I58" i="21"/>
  <c r="I57" i="21"/>
  <c r="I86" i="21"/>
  <c r="I85" i="21" s="1"/>
  <c r="I43" i="21"/>
  <c r="I42" i="21" s="1"/>
  <c r="I35" i="21"/>
  <c r="I37" i="21"/>
  <c r="I747" i="21"/>
  <c r="I745" i="21"/>
  <c r="I742" i="21"/>
  <c r="I843" i="21"/>
  <c r="I847" i="21"/>
  <c r="I842" i="21" s="1"/>
  <c r="I841" i="21" s="1"/>
  <c r="I834" i="21"/>
  <c r="I833" i="21"/>
  <c r="I832" i="21" s="1"/>
  <c r="I828" i="21"/>
  <c r="I827" i="21" s="1"/>
  <c r="I826" i="21" s="1"/>
  <c r="I823" i="21"/>
  <c r="I18" i="21"/>
  <c r="I17" i="21" s="1"/>
  <c r="I9" i="21" s="1"/>
  <c r="I8" i="21" s="1"/>
  <c r="I21" i="21"/>
  <c r="I22" i="21"/>
  <c r="I19" i="21"/>
  <c r="I13" i="21"/>
  <c r="I12" i="21"/>
  <c r="I838" i="21"/>
  <c r="I837" i="21"/>
  <c r="I836" i="21" s="1"/>
  <c r="I831" i="21"/>
  <c r="I830" i="21" s="1"/>
  <c r="I829" i="21" s="1"/>
  <c r="I854" i="21"/>
  <c r="I853" i="21"/>
  <c r="I852" i="21" s="1"/>
  <c r="I850" i="21"/>
  <c r="I849" i="21" s="1"/>
  <c r="I848" i="21" s="1"/>
  <c r="I25" i="21"/>
  <c r="I24" i="21"/>
  <c r="I23" i="21" s="1"/>
  <c r="I844" i="21"/>
  <c r="I39" i="21"/>
  <c r="I274" i="21"/>
  <c r="I267" i="21"/>
  <c r="I244" i="21"/>
  <c r="I63" i="21"/>
  <c r="I824" i="21"/>
  <c r="I54" i="21" l="1"/>
  <c r="I53" i="21" s="1"/>
  <c r="I363" i="21"/>
  <c r="I28" i="21"/>
  <c r="I27" i="21" s="1"/>
  <c r="I93" i="21"/>
  <c r="I92" i="21" s="1"/>
  <c r="I135" i="21"/>
  <c r="I134" i="21" s="1"/>
  <c r="I603" i="21"/>
  <c r="I325" i="21" s="1"/>
  <c r="I324" i="21" s="1"/>
  <c r="I855" i="21" l="1"/>
</calcChain>
</file>

<file path=xl/sharedStrings.xml><?xml version="1.0" encoding="utf-8"?>
<sst xmlns="http://schemas.openxmlformats.org/spreadsheetml/2006/main" count="1319" uniqueCount="810">
  <si>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</si>
  <si>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</si>
  <si>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Реконструкція стадіону ЗОШ № 7, м. Марганець, вул. Долгова, 1 (у т.ч. ПКД)</t>
  </si>
  <si>
    <t>Реконструкція стадіону ЗОШ № 9, м. Марганець, кв. Ювілейний, 16 (у т.ч. ПКД)</t>
  </si>
  <si>
    <t>Реконструкція будівлі КЗ „Покровська дитячо-юнацька спортивна школа” Покровської районної ради Дніпропетровської області (коригування)</t>
  </si>
  <si>
    <t>Реконструкція комплексу Софіївської районної дитячо-юнацької спортивної школи по вул. Карпенка, 15, в смт Софіївка Софіївського району Дніпропетровської області (у т.ч. ПКД)</t>
  </si>
  <si>
    <t xml:space="preserve">Підготовка кадрів вищими навчальними закладами І – ІІ рівнів акредитації (коледжами, технікумами, училищами) </t>
  </si>
  <si>
    <t>Реконструкція 5-ти квартирного житлового будинку під дошкільний навчальний заклад в с. Вільне Новомосковського району Дніпропетровської області. (у т.ч. ПКД)</t>
  </si>
  <si>
    <t>Петропавлівський  район</t>
  </si>
  <si>
    <t>Петриківський  район</t>
  </si>
  <si>
    <t>Покровський  район</t>
  </si>
  <si>
    <t>Будівництво ДНЗ на 115 місць по вул. Привокзальна, 344, м. П’ятихатки (у т.ч. ПКД)</t>
  </si>
  <si>
    <t>Синельниківський  район</t>
  </si>
  <si>
    <t>Реконструкція споруд та мереж водопостачання с. Військове Солонянського району Дніпропетровської області (у т.ч. ПКД та експертиза)</t>
  </si>
  <si>
    <t>Первинна медична допомога населенню</t>
  </si>
  <si>
    <t>0726</t>
  </si>
  <si>
    <t>Перелік об’єктів, видатки на які у 2018  році будуть проводитися за рахунок коштів бюджету розвитку</t>
  </si>
  <si>
    <t>за рахунок субвенції з державного бюджету</t>
  </si>
  <si>
    <t>Управління молоді і спорту Дніпропетровської обласної державної адміністрації</t>
  </si>
  <si>
    <t>0111</t>
  </si>
  <si>
    <t>1000000</t>
  </si>
  <si>
    <t>1010000</t>
  </si>
  <si>
    <t xml:space="preserve">Відсоток завершеності будівництва об’єктів на майбутні роки </t>
  </si>
  <si>
    <t>Реконструкція аптеки під багатоквартирний житловий будинок по
вул. 14 Гвардійської дивізії, 12  в смт Царичанка Дніпропетровської області (у т.ч. ПКД)</t>
  </si>
  <si>
    <t>Реконструкція філії амбулаторії № 6 за адресою: вул. Орловська, 41 
м. Дніпропетровськ, під амбулаторію загальної практики сімейної медицини. Коригування (у т.ч. ПКД)</t>
  </si>
  <si>
    <t>Департамент капітального будівництва Дніпропетровської обласної державної адміністрації</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</si>
  <si>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</si>
  <si>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 xml:space="preserve">Надання реабілітаційних послуг особам з інвалідністю та дітям з інвалідністю </t>
  </si>
  <si>
    <t>0813100</t>
  </si>
  <si>
    <t>0813102</t>
  </si>
  <si>
    <t>0813105</t>
  </si>
  <si>
    <t>3101</t>
  </si>
  <si>
    <t>3102</t>
  </si>
  <si>
    <t>3105</t>
  </si>
  <si>
    <t>0813200</t>
  </si>
  <si>
    <t>3200</t>
  </si>
  <si>
    <t xml:space="preserve">Забезпечення обробки інформації з нарахування та виплати допомог і компенсацій </t>
  </si>
  <si>
    <t>3240</t>
  </si>
  <si>
    <t>3241</t>
  </si>
  <si>
    <t>Забезпечення діяльності інших закладів у сфері соціального захисту і соціального забезпечення</t>
  </si>
  <si>
    <t>0817320</t>
  </si>
  <si>
    <t>0817323</t>
  </si>
  <si>
    <t>Управління протокольних та масових заходів Дніпропетровської обласної державної адміністрації</t>
  </si>
  <si>
    <t>Управління містобудування та архітектури Дніпропетровської обласної державної адміністрації</t>
  </si>
  <si>
    <t>0443</t>
  </si>
  <si>
    <t>5033</t>
  </si>
  <si>
    <t>Будівництво стадіону на території НВК в с. Ганнівка Верхньодніпровського району Дніпропетровської області (у т.ч. ПКД)</t>
  </si>
  <si>
    <t>Реконструкція стадіону Сурсько-Литовської середньої школи Дніпровського району Дніпропетровської області (у т.ч. ПКД)</t>
  </si>
  <si>
    <t xml:space="preserve">Завершення будівництва багатоквартирного житлового будинку по
вул. Леніна, 143А, смт Покровське Покровського району Дніпропетровської області. Коригування </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</si>
  <si>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</si>
  <si>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Забезпечення соціальними послугами стаціонарного догляду з наданням місця для проживання дітей з вадами фізичного та розумового розвитку</t>
  </si>
  <si>
    <t>0941</t>
  </si>
  <si>
    <t>1512010</t>
  </si>
  <si>
    <t>2010</t>
  </si>
  <si>
    <t>0731</t>
  </si>
  <si>
    <t>Багатопрофільна стаціонарна медична допомога населенню</t>
  </si>
  <si>
    <t>1512020</t>
  </si>
  <si>
    <t>2020</t>
  </si>
  <si>
    <t>0732</t>
  </si>
  <si>
    <t xml:space="preserve">Спеціалізована стаціонарна медична допомога населенню </t>
  </si>
  <si>
    <t>1512110</t>
  </si>
  <si>
    <t>2110</t>
  </si>
  <si>
    <t>1512111</t>
  </si>
  <si>
    <t>2111</t>
  </si>
  <si>
    <t>Первинна медична допомога населенню, що надається центрами первинної медичної (медико-санітарної) допомоги</t>
  </si>
  <si>
    <t>1514060</t>
  </si>
  <si>
    <t>4060</t>
  </si>
  <si>
    <t>0828</t>
  </si>
  <si>
    <t>Забезпечення діяльності палаців i будинків культури, клубів, центрів дозвілля та iнших клубних закладів</t>
  </si>
  <si>
    <t>1515030</t>
  </si>
  <si>
    <t>1515031</t>
  </si>
  <si>
    <t>5031</t>
  </si>
  <si>
    <t>Будівництво системи каналізації по вулицях Набережна, Центральна, Шосейна та КНС м. Підгородне Дніпровського району Дніпропетровської області (у т. ч. ПКД та експертиза)</t>
  </si>
  <si>
    <t>Лікарсько-акушерська допомога вагітним, породіллям та новонародженим</t>
  </si>
  <si>
    <t>0712030</t>
  </si>
  <si>
    <t>2030</t>
  </si>
  <si>
    <t>0733</t>
  </si>
  <si>
    <t>Управління інформаційних технологій та електронного урядування Дніпропетровської обласної державної адміністрації</t>
  </si>
  <si>
    <t>0320</t>
  </si>
  <si>
    <t>Інші заклади та заходи</t>
  </si>
  <si>
    <t>1100000</t>
  </si>
  <si>
    <t>1110000</t>
  </si>
  <si>
    <t>1115030</t>
  </si>
  <si>
    <t>1115033</t>
  </si>
  <si>
    <t>Забезпечення підготовки спортсменів школами вищої спортивної майстерності</t>
  </si>
  <si>
    <t>4080</t>
  </si>
  <si>
    <t>0829</t>
  </si>
  <si>
    <t>Інші заклади та заходи в галузі культури і мистецтва</t>
  </si>
  <si>
    <t>м. Марганець</t>
  </si>
  <si>
    <t>1516080</t>
  </si>
  <si>
    <t>6080</t>
  </si>
  <si>
    <t xml:space="preserve">Реалізація державних та місцевих житлових програм </t>
  </si>
  <si>
    <t>1516083</t>
  </si>
  <si>
    <t>6083</t>
  </si>
  <si>
    <t>0610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</si>
  <si>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</si>
  <si>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1511120</t>
  </si>
  <si>
    <t>1120</t>
  </si>
  <si>
    <t>Реконструкція амбулаторії № 10 КЗ „ДЦПМСД № 4” за адресою: вул. Козакова, 1-А, м. Дніпро (у т.ч. ПКД)</t>
  </si>
  <si>
    <t>Реконструкція амбулаторії № 9 КЗ „ДЦПМСД № 7” за адресою: вул. Новошкільна, 92, м. Дніпро (у т.ч. ПКД)</t>
  </si>
  <si>
    <t>Реставрація вхідної групи (аварійно-відновлювальні роботи частини фасаду будівлі Художнього музею за адресою: вул. Шевченка, 21 у м. Дніпро)</t>
  </si>
  <si>
    <t>0620</t>
  </si>
  <si>
    <t>Організація благоустрою населених пунктів</t>
  </si>
  <si>
    <t>м. Дніпро</t>
  </si>
  <si>
    <t>м. Кривий Ріг</t>
  </si>
  <si>
    <t xml:space="preserve">м. Новомосковськ </t>
  </si>
  <si>
    <t xml:space="preserve"> м. Покров</t>
  </si>
  <si>
    <t>Реконструкція Дендропарку по вул. Центральна в м. Покров Дніпропетровської області. (у т.ч. ПКД та експертиза)</t>
  </si>
  <si>
    <t>Будівництво стадіону по вул. Центральній, 2-с в с. Волоське Дніпровського району Дніпропетровської області (у т.ч. ПКД)</t>
  </si>
  <si>
    <t>Реконструкція будівлі КЗ „Покровська дитячо-юнацька спортивна школа” Покровської районної ради Дніпропетровської області (I черга), у т.ч. ПКД</t>
  </si>
  <si>
    <t>м. Першотравенськ</t>
  </si>
  <si>
    <t>1217360</t>
  </si>
  <si>
    <t xml:space="preserve">Виконання інвестиційних проектів </t>
  </si>
  <si>
    <t>1217361</t>
  </si>
  <si>
    <t>7361</t>
  </si>
  <si>
    <t>Співфінансування інвестиційних проектів, що реалізуються за рахунок коштів державного фонду регіонального розвитку</t>
  </si>
  <si>
    <t>1217363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</si>
  <si>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</si>
  <si>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</si>
  <si>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12-ти квартирного житлового будинку в с. Вербуватівка Юр’ївського району Дніпропетровської області. Коригування (у т.ч. ПКД)</t>
  </si>
  <si>
    <t>Першочергові протиаварійні роботи з реставрації пам’ятки культури, історії та архітектури. Покрівля пам’ятнику містобудування і архітектури Національного значення, охр. № 1074 – будівля КЗ Культури „Дніпровський академічний Український музично-драматичний театр ім. Т.Г. Шевченка” Дніпропетровської обласної ради, за адресою: м. Дніпро, вул. Воскресенська, 5</t>
  </si>
  <si>
    <t>Реконструкція амбулаторії № 2 КЗ „ДЦПМСД № 6” за адресою: вул. Караваєва, 68, м. Дніпро (у т.ч. ПКД)</t>
  </si>
  <si>
    <t>Департамент інформаційної діяльності та комунікацій з громадкістю Дніпропетровської обласної державної адміністрації</t>
  </si>
  <si>
    <t>2300000</t>
  </si>
  <si>
    <t>2310000</t>
  </si>
  <si>
    <t>2311160</t>
  </si>
  <si>
    <t>1216030</t>
  </si>
  <si>
    <t>6030</t>
  </si>
  <si>
    <t>у тому числі:</t>
  </si>
  <si>
    <t>в тому числі кредиторська заборгованість</t>
  </si>
  <si>
    <t>1511040</t>
  </si>
  <si>
    <t>1040</t>
  </si>
  <si>
    <t>Надання загальної середньої освіти загальноосвiтнiми школами-iнтернатами, загальноосвітніми санаторними школами-інтернатами</t>
  </si>
  <si>
    <t>Будівництво установ та закладів соціальної сфери</t>
  </si>
  <si>
    <t>1517324</t>
  </si>
  <si>
    <t>7324</t>
  </si>
  <si>
    <t>Будівництво установ та закладів культури</t>
  </si>
  <si>
    <t>4010</t>
  </si>
  <si>
    <t>0821</t>
  </si>
  <si>
    <t>Будівництво магістрального водопроводу від села Нива-Трудова до села Михайлівка (Апостолівського району) (у т.ч. експертиза та коригування ПКД)</t>
  </si>
  <si>
    <t>у тому числі кредиторська заборгованість</t>
  </si>
  <si>
    <t>Реконструкція парку ім. Федора Мершовцева  м. Кривий Ріг (ІІ черга) 
(у т.ч. ПКД та експертиза)</t>
  </si>
  <si>
    <t>1217463</t>
  </si>
  <si>
    <t>7463</t>
  </si>
  <si>
    <t>Будівництво малого групового будинку за адресою: Дніпропетровська область, Синельниківський район, с. Раївка, вул. Таланова, 14-а (у т.ч. ПКД)</t>
  </si>
  <si>
    <t>Будівництво ДНЗ на 115 місць на території Миколаївської СШ № 2 Новотаромської сільської ради Дніпровського району (у т.ч. ПКД)</t>
  </si>
  <si>
    <t>Криворізький район</t>
  </si>
  <si>
    <t>2311162</t>
  </si>
  <si>
    <t>0719770</t>
  </si>
  <si>
    <t>м. Покров</t>
  </si>
  <si>
    <t>м. Синельникове</t>
  </si>
  <si>
    <t>1216040</t>
  </si>
  <si>
    <t>6040</t>
  </si>
  <si>
    <t>Заходи, пов’язані з поліпшенням питної води</t>
  </si>
  <si>
    <t>капітальні видатки</t>
  </si>
  <si>
    <t>1017321</t>
  </si>
  <si>
    <t>Реконструкція мереж вуличного освітлення по вул. Центральна, Високий Хутір в смт Миколаївка Петриківського району Дніпропетровської області з встановленням ефективних енергозберігаючих світильників</t>
  </si>
  <si>
    <t>Реконструкція паркової зони по вул. Гагаріна в смт Солоне Дніпропетровської області (у т. ч. ПКД та експертиза)</t>
  </si>
  <si>
    <t>1517368</t>
  </si>
  <si>
    <t>7368</t>
  </si>
  <si>
    <t>Виконання інвестиційних проектів за рахунок субвенцій з інших бюджетів</t>
  </si>
  <si>
    <t>Будівництво стадіону в с. Хутірське по вул. Лук’яненко Хутірської сільської ради Петриківського району Дніпропетровської області (у т.ч. ПКД)</t>
  </si>
  <si>
    <t>Юр’ївський район</t>
  </si>
  <si>
    <t>Будівництво інших об’єктів соціальної та виробничої інфраструктури комунальної власності</t>
  </si>
  <si>
    <t>Проектування, реставрація та охорона пам’яток архітектури</t>
  </si>
  <si>
    <t>0712152</t>
  </si>
  <si>
    <t>2152</t>
  </si>
  <si>
    <t>Інші програми та заходи у сфері охорони здоров’я,</t>
  </si>
  <si>
    <t>Інші заходи в галузі охорони здоров’я,</t>
  </si>
  <si>
    <t>0710000</t>
  </si>
  <si>
    <t>0712150</t>
  </si>
  <si>
    <t>2150</t>
  </si>
  <si>
    <t>0800000</t>
  </si>
  <si>
    <t>0810000</t>
  </si>
  <si>
    <t>1014020</t>
  </si>
  <si>
    <t xml:space="preserve">Нікопольський район </t>
  </si>
  <si>
    <t>Широківський район</t>
  </si>
  <si>
    <t>0712151</t>
  </si>
  <si>
    <t>2151</t>
  </si>
  <si>
    <r>
      <t>Реконструкція колишньої Маївської початкової школи під комунальний дошкільний навчальний заклад по вул. Київській 61</t>
    </r>
    <r>
      <rPr>
        <sz val="12"/>
        <rFont val="Times New Roman"/>
        <family val="1"/>
        <charset val="204"/>
      </rPr>
      <t>, в с. Маївка Дніпровського району Дніпропетровської області (у тому числі ПКД)</t>
    </r>
  </si>
  <si>
    <t>0611070</t>
  </si>
  <si>
    <t>1070</t>
  </si>
  <si>
    <t>0611090</t>
  </si>
  <si>
    <t>Надання позашкільної освіти позашкільними закладами освіти, заходи із позашкільної роботи з дітьми</t>
  </si>
  <si>
    <t>0611120</t>
  </si>
  <si>
    <t>0611140</t>
  </si>
  <si>
    <t>1140</t>
  </si>
  <si>
    <t>0950</t>
  </si>
  <si>
    <t>Підвищення кваліфікації, перепідготовка кадрів закладами післядипломної освіти</t>
  </si>
  <si>
    <t>0617321</t>
  </si>
  <si>
    <t>4020</t>
  </si>
  <si>
    <t>Виконання інвестиційних проектів</t>
  </si>
  <si>
    <t>Виконання інвестиційних  проектів в рамках здійснення заходів щодо соціально-економічного розвитку окремих територій</t>
  </si>
  <si>
    <t>0117360</t>
  </si>
  <si>
    <t>0117363</t>
  </si>
  <si>
    <t>0717360</t>
  </si>
  <si>
    <t>0717363</t>
  </si>
  <si>
    <t>1217330</t>
  </si>
  <si>
    <t>у т.ч. списано згідно рішення господарського суду</t>
  </si>
  <si>
    <t>Реконструкція водоочисних споруд в с. Голубівка Новомосковського району (у т.ч. експертиза та ПКД)</t>
  </si>
  <si>
    <t>1217368</t>
  </si>
  <si>
    <t>Будівництво освітніх установ та закладів</t>
  </si>
  <si>
    <t>м. Жовті Води</t>
  </si>
  <si>
    <t>м. Кам’янське</t>
  </si>
  <si>
    <t>0111210</t>
  </si>
  <si>
    <t>1210</t>
  </si>
  <si>
    <t>Утримання інших закладів освіти</t>
  </si>
  <si>
    <t>м. Нікополь</t>
  </si>
  <si>
    <t>м. Новомосковськ</t>
  </si>
  <si>
    <t>до рішення обласної ради</t>
  </si>
  <si>
    <t>у т.ч. залишки субвенції з державного бюджету</t>
  </si>
  <si>
    <t>у т.ч.  кредиторська заборгованість</t>
  </si>
  <si>
    <t>у т.ч. залишки субвенції</t>
  </si>
  <si>
    <t>1517363</t>
  </si>
  <si>
    <t xml:space="preserve">у т.ч. залишки субвенції </t>
  </si>
  <si>
    <t>у т.ч. кредиторська заборгованість</t>
  </si>
  <si>
    <t>2800000</t>
  </si>
  <si>
    <t>2810000</t>
  </si>
  <si>
    <t>2819800</t>
  </si>
  <si>
    <t>9800</t>
  </si>
  <si>
    <t>субвенція з обласного бюджету до місцевих бюджетів на впровадження новітніх технологій</t>
  </si>
  <si>
    <t>2919770</t>
  </si>
  <si>
    <t>2919800</t>
  </si>
  <si>
    <t>Утримання та розвиток автомобільних доріг та дорожньої інфраструктури за рахунок трансфертів з інших місцевих бюджетів</t>
  </si>
  <si>
    <t>Реконструкція стадіону опорної КЗ „Карпівська середня загальноосвітня
школа І – ІІІ ступенів” по вул. Молодіжна, 52 в с. Карпівка Широківського району  Дніпропетровської області (у т.ч. ПКД)</t>
  </si>
  <si>
    <t>Департамент екології та природних ресурсів Дніпропетровської обласної державної адміністрації</t>
  </si>
  <si>
    <t>Субвенція з місцевого бюджету державному бюджету на виконання програм соціально-економічного розвитку регіонів</t>
  </si>
  <si>
    <t>1517361</t>
  </si>
  <si>
    <t>Реконструкція НВК № 1 по вул. Центральній, 35, м. Покров (у т.ч. ПКД)</t>
  </si>
  <si>
    <t>Реконструкція стадіону НВК № 1 по вул. Центральній, 35, м. Покров (у т.ч. ПКД)</t>
  </si>
  <si>
    <t>Будівництво ДНЗ на 115 місць,  вул. І. Малки, м. Покров (у т.ч. ПКД)</t>
  </si>
  <si>
    <t>Васильківський  район</t>
  </si>
  <si>
    <t>Субвенція з місцевого бюджету за рахунок залишку коштів освітньої субвенції, що утворився на початок бюджетного періоду</t>
  </si>
  <si>
    <t>0611080</t>
  </si>
  <si>
    <t>0712020</t>
  </si>
  <si>
    <t>Спеціалізована стаціонарна медична допомога населенню</t>
  </si>
  <si>
    <t>0712040</t>
  </si>
  <si>
    <t>2040</t>
  </si>
  <si>
    <t>0734</t>
  </si>
  <si>
    <t>Санаторно-курортна допомога населенню</t>
  </si>
  <si>
    <t>1011120</t>
  </si>
  <si>
    <t>1011130</t>
  </si>
  <si>
    <t>1130</t>
  </si>
  <si>
    <t>0942</t>
  </si>
  <si>
    <t>Петриківський район</t>
  </si>
  <si>
    <t>Додаток 6</t>
  </si>
  <si>
    <t>Нове будівництво житлового будинку на основі незавершеного будівництвом гуртожитку за адресою: вул. Туполєва, м. Кривий Ріг, Дніпропетровська обл., 50000</t>
  </si>
  <si>
    <t>Будівництво розвідних водопровідних мереж с. Бикове Криничанського району (у т.ч. ПКД та експертиза)</t>
  </si>
  <si>
    <t>1517366</t>
  </si>
  <si>
    <t>7366</t>
  </si>
  <si>
    <t>Реалізація проектів в рамках Надзвичайної кредитної програми для відновлення України</t>
  </si>
  <si>
    <t>Васильківський район</t>
  </si>
  <si>
    <t>Реконструкція стадіону „Діброва” в смт Царичанка Царичанського району, в т.ч. ПКД</t>
  </si>
  <si>
    <t>Управління взаємодії з правоохоронними органами та оборонної роботи Дніпропетровської обласної державної адміністрації</t>
  </si>
  <si>
    <t xml:space="preserve">Субвенція з місцевого бюджету державному бюджету на виконання програм соціально-економічного розвитку регіонів </t>
  </si>
  <si>
    <t>2200000</t>
  </si>
  <si>
    <t>2210000</t>
  </si>
  <si>
    <t>Надання загальної середньої освіти загальноосвiтнiми школами-iнтернатами, загальноосвітніми санаторними школами-інтернатами,</t>
  </si>
  <si>
    <t>1219770</t>
  </si>
  <si>
    <t xml:space="preserve">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</si>
  <si>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</si>
  <si>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1217364</t>
  </si>
  <si>
    <t>7364</t>
  </si>
  <si>
    <t>1014030</t>
  </si>
  <si>
    <t>4030</t>
  </si>
  <si>
    <t>Забезпечення діяльності бібліотек</t>
  </si>
  <si>
    <t>1017320</t>
  </si>
  <si>
    <t>1017324</t>
  </si>
  <si>
    <t>1115031</t>
  </si>
  <si>
    <t>7325</t>
  </si>
  <si>
    <t>Будівництво споруд, установ та закладів фізичної культури і спорту</t>
  </si>
  <si>
    <t>Реконструкція стадіону м. Синельникове (у т.ч. ПКД)</t>
  </si>
  <si>
    <t>Реконструкція  центрального стадіону м. Апостолове Апостолівського району (у т.ч. ПКД)</t>
  </si>
  <si>
    <t>Спортивно-оздоровчий комплекс в смт. Слобожанське Дніпровського району Дніпропетровської області (нове будівництво). Плавальний басейн (у т.ч. ПКД)</t>
  </si>
  <si>
    <t>Будівництво стадіону в с. Придніпровське Нікопольського району Дніпропетровської області (у т.ч. ПКД)</t>
  </si>
  <si>
    <t>Реконструкція стадіону в смт Покровське, вул. Горького, Покровського району (у т.ч. ПКД)</t>
  </si>
  <si>
    <t>Софіївський  район</t>
  </si>
  <si>
    <t>Реконструкція стадіону в смт. Юр’ївка, в т.ч. ПКД</t>
  </si>
  <si>
    <t>1517330</t>
  </si>
  <si>
    <t>7330</t>
  </si>
  <si>
    <t>Будівництво 2-х секційного житлового будинку у м. Покров (у т.ч. ПКД)</t>
  </si>
  <si>
    <t>1517340</t>
  </si>
  <si>
    <t>7340</t>
  </si>
  <si>
    <t>Назва об’єктів відповідно до проектно-кошторисної документації тощо</t>
  </si>
  <si>
    <t>0100000</t>
  </si>
  <si>
    <t>0110000</t>
  </si>
  <si>
    <t>Усього видатків по обласному бюджету</t>
  </si>
  <si>
    <t>Обласна рада</t>
  </si>
  <si>
    <t>0990</t>
  </si>
  <si>
    <t>0810</t>
  </si>
  <si>
    <t>0763</t>
  </si>
  <si>
    <t>0180</t>
  </si>
  <si>
    <t>Капітальні видатки</t>
  </si>
  <si>
    <t>Петрикiвський район</t>
  </si>
  <si>
    <t>Фінансова підтримка фiлармонiй, художніх і музичних колективів, ансамблів, концертних та циркових організацій</t>
  </si>
  <si>
    <t>0822</t>
  </si>
  <si>
    <t>Томаківський район</t>
  </si>
  <si>
    <t>м. Павлоград</t>
  </si>
  <si>
    <t>Департамент фінансів Дніпропетровської обласної державної адміністрації</t>
  </si>
  <si>
    <t>3200000</t>
  </si>
  <si>
    <t>3210000</t>
  </si>
  <si>
    <t>3214080</t>
  </si>
  <si>
    <t>3214082</t>
  </si>
  <si>
    <t>4082</t>
  </si>
  <si>
    <t>Інші заходи в галузі культури і мистецтва</t>
  </si>
  <si>
    <t>Апарат обласної державної адміністрації</t>
  </si>
  <si>
    <t>0200000</t>
  </si>
  <si>
    <t>0210000</t>
  </si>
  <si>
    <t>0213240</t>
  </si>
  <si>
    <t>0213241</t>
  </si>
  <si>
    <t>Дніпровський район</t>
  </si>
  <si>
    <t>Криворiзький район</t>
  </si>
  <si>
    <t>Новомосковський район</t>
  </si>
  <si>
    <t>Солонянський район</t>
  </si>
  <si>
    <t>Софіївський район</t>
  </si>
  <si>
    <t xml:space="preserve">Синельниківський район </t>
  </si>
  <si>
    <t>1217640</t>
  </si>
  <si>
    <t>7640</t>
  </si>
  <si>
    <t>0470</t>
  </si>
  <si>
    <t>Заходи з енергозбереження</t>
  </si>
  <si>
    <t>1511010</t>
  </si>
  <si>
    <t>1010</t>
  </si>
  <si>
    <t>0910</t>
  </si>
  <si>
    <t>Надання дошкільної освіти</t>
  </si>
  <si>
    <t>1511020</t>
  </si>
  <si>
    <t>1020</t>
  </si>
  <si>
    <t>0921</t>
  </si>
  <si>
    <t>1511080</t>
  </si>
  <si>
    <t>1080</t>
  </si>
  <si>
    <t>0922</t>
  </si>
  <si>
    <t>Нове будівництво водогону питної води населених пунктів Божедарівської селищної ради, Криничанського району, Дніпропетровської області (у. т.ч. ПКД та експертиза)</t>
  </si>
  <si>
    <t>Межiвський район</t>
  </si>
  <si>
    <t>Інші заходи, пов’язані з економічною діяльністю</t>
  </si>
  <si>
    <t>Будівництво об’єктів соціально-культурного призначення</t>
  </si>
  <si>
    <t>Реконструкція стадіону Лихівської середньої загальноосвітньої школи смт Лихівка П’ятихатського району Дніпропетровської області (у т.ч. ПКД)</t>
  </si>
  <si>
    <t>Синельниківський район</t>
  </si>
  <si>
    <t>Будівництво стадіону КЗ „Дитячо-юнацька футбольна школа „Надія” Кам’янської міської ради (у т.ч. ПКД)</t>
  </si>
  <si>
    <t>„Спортивно-оздоровчий комплекс в смт. Слобожанське Дніпровського району Дніпропетровської області. Коригування проекту” (нове будівництво). Котельня (у т.ч. ПКД)</t>
  </si>
  <si>
    <t>0110150</t>
  </si>
  <si>
    <t>0150</t>
  </si>
  <si>
    <t>Інші програми, заклади та заходи у сфері освіти</t>
  </si>
  <si>
    <t>0117690</t>
  </si>
  <si>
    <t>7690</t>
  </si>
  <si>
    <t>Інша економічна діяльність</t>
  </si>
  <si>
    <t>0119770</t>
  </si>
  <si>
    <t>9770</t>
  </si>
  <si>
    <t>Інші субвенції з місцевого бюджету</t>
  </si>
  <si>
    <t>0600000</t>
  </si>
  <si>
    <t>0610000</t>
  </si>
  <si>
    <t>0611160</t>
  </si>
  <si>
    <t>0700000</t>
  </si>
  <si>
    <t>Найменування головного розпорядника, відповідального виконавця, бюджетної програми або напряму видатків згідно з типовою відомчою/ТПКВКМБ</t>
  </si>
  <si>
    <t>Код ТПКВКМБ</t>
  </si>
  <si>
    <t>Код ФКВКБ</t>
  </si>
  <si>
    <t>грн</t>
  </si>
  <si>
    <t>Управління культури, національностей і релігій Дніпропетровської обласної державної адміністрації</t>
  </si>
  <si>
    <t xml:space="preserve">Загальний обсяг фінансування будівництва </t>
  </si>
  <si>
    <t xml:space="preserve">Разом видатків на поточний рік </t>
  </si>
  <si>
    <t>0490</t>
  </si>
  <si>
    <t>Реконструкція центральної площі смт Червоногригорівка Нікопольського району (у т.ч. ПКД та експертиза)</t>
  </si>
  <si>
    <t>Реконструкція спортивного комплексу по вул. Будьонного в смт. Межова Дніпропетровської області.</t>
  </si>
  <si>
    <t>Реконструкція з енергозбереженням та альтернативним опаленням СЗОШ
№ 2, по вул. Соборна, буд. 4, смт Широке, Широківського району Дніпропетровської області (у т.ч. ПКД)</t>
  </si>
  <si>
    <t>Межівський  район</t>
  </si>
  <si>
    <t>Павлоградський район</t>
  </si>
  <si>
    <t>Реконструкція Бородаївського КДНЗ „Вишенька” за адресою: 
вул. Шкільна, 12, с. Бородаївка Верхньодніпровського району Дніпропетровської області (у т.ч. ПКД)</t>
  </si>
  <si>
    <t>Реконструкція будівлі дошкільного закладу „Веснянка” по 
вул. Центральна, 31д в с. Миколаївка-1 Дніпропетровського району Дніпропетровської області. Коригування (у т.ч. ПКД)</t>
  </si>
  <si>
    <t xml:space="preserve">Реконструкція дошкільного навчального закладу по вул. Центральна, 10,
в селі Піщанка, Новомосковського району, Дніпропетровської області (у т.ч. ПКД) </t>
  </si>
  <si>
    <t>Верхньодніпровський район</t>
  </si>
  <si>
    <t>Реконструкція будівлі „Палац тенісу” КЗ „Спортивний комбінат „Прометей” КМР у м. Кам’янське (у т.ч. ПКД)</t>
  </si>
  <si>
    <t>Реконструкція стадіону НВК № 1 ім. Коцюбинського смт Васильківка Васильківського району Дніпропетровської області (у т.ч. ПКД)</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</si>
  <si>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</si>
  <si>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Будівництво відкритих спортивних споруд на території комунального закладу „Загальноосвітній ліцей м. Покров Дніпропетровської області” за адресою: Дніпропетровська область, м. Покров, вул. Центральна, 31 (у т.ч. ПКД)</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</si>
  <si>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</si>
  <si>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С. ОЛІЙНИК</t>
  </si>
  <si>
    <t>Будівництво ДНЗ на 115 місць на території КЗО СШ № 116 по 
вул. Передова, 601 м. Дніпро (у т.ч. ПКД)</t>
  </si>
  <si>
    <t>Будівництво навчально-виховного комплексу на території КЗ „Середня загальноосвітня школа № 27 „Кам’янської міської ради, розташованої за
адресою: м. Кам’янське, вул. Залізняка, 19, Дніпропетровської області (у т.ч. ПКД)</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</si>
  <si>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</si>
  <si>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5030</t>
  </si>
  <si>
    <t>7310</t>
  </si>
  <si>
    <t>1217310</t>
  </si>
  <si>
    <t>7360</t>
  </si>
  <si>
    <t>1217460</t>
  </si>
  <si>
    <t>7460</t>
  </si>
  <si>
    <t>Утримання та розвиток автомобільних доріг та дорожньої інфраструктури</t>
  </si>
  <si>
    <t>1217461</t>
  </si>
  <si>
    <t>Утримання та розвиток автомобільних доріг та дорожньої інфраструктури за рахунок коштів місцевого бюджету</t>
  </si>
  <si>
    <t>7461</t>
  </si>
  <si>
    <t>7320</t>
  </si>
  <si>
    <t>1517320</t>
  </si>
  <si>
    <t>1517360</t>
  </si>
  <si>
    <t>7365</t>
  </si>
  <si>
    <t>1517365</t>
  </si>
  <si>
    <t>Управління цивільного захисту Дніпропетровської обласної державної адміністрації</t>
  </si>
  <si>
    <t>2900000</t>
  </si>
  <si>
    <t>2910000</t>
  </si>
  <si>
    <t>2918110</t>
  </si>
  <si>
    <t>Криничанський район</t>
  </si>
  <si>
    <t>Магдалинівський район</t>
  </si>
  <si>
    <t>Будівництво КДНЗ (ясел-садка) „Світанок” за адресою: м. Нікополь,
перехрестя вул. Першотравнева та вул. 8 Березня (у т.ч. ПКД)</t>
  </si>
  <si>
    <t>Реконструкція Томаківського НВК „ЗОШ І – ІІІ ступенів – ДНЗ” № 1 Томаківського району Дніпропетровської області по вул. Ватутіна, 7 (у т.ч. ПКД)</t>
  </si>
  <si>
    <t>субвенція з обласного бюджету до місцевих бюджетів на капітальні видатки та облаштування об’єктів соціально-культурної сфери</t>
  </si>
  <si>
    <t>Реконструкція підвідного водопроводу до с. Новолатівка та с. Інгулець Широківського району Дніпропетровської області (у т.ч. ПКД та експертиза)</t>
  </si>
  <si>
    <t>Реконструкція стадіону Чаплинської опорної школи Васильківського району Дніпропетровської області (у т.ч. ПКД)</t>
  </si>
  <si>
    <t>Фінансова підтримка театрів</t>
  </si>
  <si>
    <t>1514040</t>
  </si>
  <si>
    <t xml:space="preserve">Реконструкція майстерень СЗШ № 37 під приміщення дошкільного відділення за  адресою: вул. Щербицького, 34/22 в м. Дніпродзержинськ. Коригування </t>
  </si>
  <si>
    <t>Реконструкція нежитлових приміщень КЗ „ДЦПМСД № 1” під амбулаторію № 6 за адресою: вул. М. Руденка, 112, м. Дніпро (у т.ч. ПКД)</t>
  </si>
  <si>
    <t>Реконструкція нежитлових приміщень КЗ „ДЦПМСД № 9” під амбулаторію № 12 за адресою: пров. Фестивальний, 14, м. Дніпро (у т.ч. ПКД)</t>
  </si>
  <si>
    <t>Реконструкція нежитлового приміщення КЗ „Дніпровський центр первинної медико-санітарної допомоги № 10” за адресою: вул. Чаплинська, 96, м. Дніпро, під розміщення амбулаторії загальної практики сімейної медицини (у т.ч. ПКД)</t>
  </si>
  <si>
    <t>Нікопольський район</t>
  </si>
  <si>
    <t>Забезпечення діяльності водопровідно-каналізаційного господарства</t>
  </si>
  <si>
    <t>0619770</t>
  </si>
  <si>
    <t>у т.ч. за рахунок субвенції з державного бюджету</t>
  </si>
  <si>
    <t>Заходи із запобігання та ліквідації надзвичайних ситуацій та наслідків стихійного лиха</t>
  </si>
  <si>
    <t>Департамент охорони здоров’я Дніпропетровської обласної державної адміністрації</t>
  </si>
  <si>
    <t>0456</t>
  </si>
  <si>
    <t>0460</t>
  </si>
  <si>
    <t>Реконструкція площі Гірницької Слави м. Марганець (у т. ч. ПКД та експертиза)</t>
  </si>
  <si>
    <t>0813241</t>
  </si>
  <si>
    <t>Реконструкція стадіону та елементів благоустрою загальноосвітньої школи № 7 за адресою: вул. Воїнів Афганців, 5, м. Синельникове Дніпропетровська область (у т.ч. ПКД)</t>
  </si>
  <si>
    <t>Апостолівський район</t>
  </si>
  <si>
    <t>0611040</t>
  </si>
  <si>
    <t>1014010</t>
  </si>
  <si>
    <t>Будівництво амбулаторії на 1-2 лікаря з житлом за адресою: Дніпропетровська область, Царичанський район, с. Прядівка, вул. Центральна, 41 б (у т.ч. ПКД)</t>
  </si>
  <si>
    <t>Нове будівництво підвідного водоводу до с. Велика Костромка Апостолівського району Дніпропетровської області (у т.ч. ПКД та експертиза)</t>
  </si>
  <si>
    <t>Спортивно-оздоровчий комплекс в сел. Ювілейне Дніпропетровського району Дніпропетровської області – будівництво (у т.ч. ПКД)</t>
  </si>
  <si>
    <t xml:space="preserve">Будівництво малого групового будинку за адресою: Дніпропетровська область, Солонянський район, смт Солоне, вул. Миру, 17 (у т.ч.ПКД) </t>
  </si>
  <si>
    <t>Департамент освіти і науки Дніпропетровської обласної державної адміністрації</t>
  </si>
  <si>
    <t>Внески до статутного капіталу суб’єктів господарювання</t>
  </si>
  <si>
    <t>0617320</t>
  </si>
  <si>
    <t>0712010</t>
  </si>
  <si>
    <t>Реконструкція будівлі поліклініки № 1 під хірургічне відділення 
КЗ „Дніпропетровський спеціалізований клінічний медичний центр матері та дитини ім. проф. М.Ф. Руднєва” ДОР” по проспекту Пушкіна, 26 у 
м. Дніпропетровську, в т.ч. ПКД</t>
  </si>
  <si>
    <t>2219800</t>
  </si>
  <si>
    <t>3700000</t>
  </si>
  <si>
    <t>3710000</t>
  </si>
  <si>
    <t>3719800</t>
  </si>
  <si>
    <t>6013</t>
  </si>
  <si>
    <t>Реконструкція стадіону Святовасилівської СШ Солонянського району Дніпропетровської області (у т.ч. ПКД)</t>
  </si>
  <si>
    <t>0117693</t>
  </si>
  <si>
    <t>7693</t>
  </si>
  <si>
    <t>Царичанський район</t>
  </si>
  <si>
    <t>1517322</t>
  </si>
  <si>
    <t>7322</t>
  </si>
  <si>
    <t>Будівництво медичних установ та закладів</t>
  </si>
  <si>
    <t>1517323</t>
  </si>
  <si>
    <t>7323</t>
  </si>
  <si>
    <t>Будівництво будинку культури в с. Новоолександрівка по вул. Парковій, 1-К  Дніпровського району Дніпропетровської області (у т.ч. ПКД)</t>
  </si>
  <si>
    <t>Реконструкція Будинку культури в м. Перещепине  Дніпропетровської області. Коригування (у т.ч. ПКД)</t>
  </si>
  <si>
    <t>1517325</t>
  </si>
  <si>
    <t>0611162</t>
  </si>
  <si>
    <t>1162</t>
  </si>
  <si>
    <t>Інші програми та заходи у сфері освіти</t>
  </si>
  <si>
    <t>0619320</t>
  </si>
  <si>
    <t>9320</t>
  </si>
  <si>
    <t>Межівський район</t>
  </si>
  <si>
    <t>1014040</t>
  </si>
  <si>
    <t>4040</t>
  </si>
  <si>
    <t>0824</t>
  </si>
  <si>
    <t>Забезпечення діяльності музеїв i виставок</t>
  </si>
  <si>
    <t>Реконструкція системи теплопостачання стадіону „Трудові резерви”, м. Дніпро, (у т.ч. ПКД)</t>
  </si>
  <si>
    <t>Реконструкція системи теплопостачання стадіону „Трудові резерви”, м. Дніпро. Збільшення потужності. (у т.ч. ПКД)</t>
  </si>
  <si>
    <t>0717320</t>
  </si>
  <si>
    <t>0717322</t>
  </si>
  <si>
    <t xml:space="preserve">Будівництво медичних установ та закладів </t>
  </si>
  <si>
    <t>0611110</t>
  </si>
  <si>
    <t>1110</t>
  </si>
  <si>
    <t>0930</t>
  </si>
  <si>
    <t>Підготовка кадрів професійно-технічними закладами та іншими закладами освіти,</t>
  </si>
  <si>
    <t>0712120</t>
  </si>
  <si>
    <t>2120</t>
  </si>
  <si>
    <t>0740</t>
  </si>
  <si>
    <t>Реконструкція фізкультурно-спортивного комплексу ім. А. Скорука по
вул. Б. Хмельницького, 48а в смт Томаківка Томаківського району (у т.ч. ПКД)</t>
  </si>
  <si>
    <t>субвенція з обласного бюджету до місцевих бюджетів на соціально-економічний розвиток</t>
  </si>
  <si>
    <t>1517367</t>
  </si>
  <si>
    <t>7367</t>
  </si>
  <si>
    <t>0712050</t>
  </si>
  <si>
    <t>2050</t>
  </si>
  <si>
    <t>0761</t>
  </si>
  <si>
    <t>Медико-соціальний захист дітей-сиріт і дітей, позбавлених батьківського піклування</t>
  </si>
  <si>
    <t xml:space="preserve"> </t>
  </si>
  <si>
    <t>1115060</t>
  </si>
  <si>
    <t>1115061</t>
  </si>
  <si>
    <t>5060</t>
  </si>
  <si>
    <t>5061</t>
  </si>
  <si>
    <t>Інші заходи з розвитку фізичної культури та спорту</t>
  </si>
  <si>
    <t>0813240</t>
  </si>
  <si>
    <t>Реконструкція стадіону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(у  т.ч. ПКД)</t>
  </si>
  <si>
    <t>1519770</t>
  </si>
  <si>
    <t xml:space="preserve"> Інші субвенції з місцевого бюджету  </t>
  </si>
  <si>
    <t>0714030</t>
  </si>
  <si>
    <t>1216010</t>
  </si>
  <si>
    <t>1216011</t>
  </si>
  <si>
    <t>1216013</t>
  </si>
  <si>
    <t>Реконструкція аварійної будівлі КЗ „Обласний центр екстреної медичної допомоги та медицини катастроф” ДОР” по вул. Свердлова, буд. 65, м. Дніпропетровськ (у т.ч. ПКД)</t>
  </si>
  <si>
    <t>Розвиток дитячо-юнацького та резервного спорту</t>
  </si>
  <si>
    <t>1160</t>
  </si>
  <si>
    <t>Департамент соціального захисту населення Дніпропетровської обласної державної адміністрації</t>
  </si>
  <si>
    <t>Департамент житлово-комунального господарства та будівництва Дніпропетровської обласної державної адміністрації</t>
  </si>
  <si>
    <t>Перший заступник голови обласної ради</t>
  </si>
  <si>
    <t>0117670</t>
  </si>
  <si>
    <t>7670</t>
  </si>
  <si>
    <t>1200000</t>
  </si>
  <si>
    <t>1210000</t>
  </si>
  <si>
    <t>1600000</t>
  </si>
  <si>
    <t>1610000</t>
  </si>
  <si>
    <t>1617350</t>
  </si>
  <si>
    <t>7350</t>
  </si>
  <si>
    <t>Розроблення схем планування та забудови територій (містобудівної документації)</t>
  </si>
  <si>
    <t>2017520</t>
  </si>
  <si>
    <t>7520</t>
  </si>
  <si>
    <t>Реалізація Національної програми інформатизації</t>
  </si>
  <si>
    <t>8110</t>
  </si>
  <si>
    <t>1500000</t>
  </si>
  <si>
    <t>1510000</t>
  </si>
  <si>
    <t>2000000</t>
  </si>
  <si>
    <t>2010000</t>
  </si>
  <si>
    <t>1090</t>
  </si>
  <si>
    <t>Утримання та навчально-тренувальна робота комунальних дитячо-юнацьких спортивних шкіл</t>
  </si>
  <si>
    <t>1515040</t>
  </si>
  <si>
    <t>5040</t>
  </si>
  <si>
    <t>Підтримка і розвиток спортивної інфраструктури</t>
  </si>
  <si>
    <t>1515041</t>
  </si>
  <si>
    <t>5041</t>
  </si>
  <si>
    <t>Утримання та фінансова підтримка спортивних споруд</t>
  </si>
  <si>
    <t>6010</t>
  </si>
  <si>
    <t>Утримання та ефективна експлуатація об’єктів житлово-комунального господарства</t>
  </si>
  <si>
    <t>6011</t>
  </si>
  <si>
    <t>Експлуатація та технічне обслуговування житлового фонду</t>
  </si>
  <si>
    <t>1516030</t>
  </si>
  <si>
    <t>1517321</t>
  </si>
  <si>
    <t>7321</t>
  </si>
  <si>
    <t>Криничанський  район</t>
  </si>
  <si>
    <t>Нікопольський  район</t>
  </si>
  <si>
    <t xml:space="preserve">Усього видатків на завершення будівництва об’єктів на майбутні роки </t>
  </si>
  <si>
    <t>Код програмної класифікації видатків та кредитування місцевого бюджету</t>
  </si>
  <si>
    <t>0813101</t>
  </si>
  <si>
    <t>3100</t>
  </si>
  <si>
    <t>Реконструкція приміщень будівлі консультативної поліклініки КЗ „Дніпропетровська обласна клінічна лікарня ім. І.І. Мечникова” під центр інноваційної хірургії за адресою: пл. Соборна, 14, м. Дніпро</t>
  </si>
  <si>
    <t>Реконструкція комунікаційної мережі для системи медичного обладнання операційних нового хірургічного корпусу КЗ „Дніпропетровська обласна клінічна лікарня ім. І.І. Мечникова” за адресою: пл. Соборна,14 м Дніпро</t>
  </si>
  <si>
    <t>Реконструкція приміщень будівлі консультативної поліклініки КЗ „Дніпропетровська обласна клінічна лікарня ім. І.І. Мечникова” під центр інноваційної хірургії за адресою: пл. Соборна, 14, м. Дніпро. Коригування</t>
  </si>
  <si>
    <t>Реконструкція комерційного вузла обліку газу за адресою: пр. Д. Яворницького, 47</t>
  </si>
  <si>
    <t>Науково-проектна документація ремонтно-реставраційних робіт будинку Блаватської за адресою: вул. Князя Ярослва Мудрого, 11 м. Дніпро</t>
  </si>
  <si>
    <t>Реконструкція скверу та спортивно-ігрових майданчиків на Західному, на ділянці від вул. Данила Галицького до вул. Ближньої в м. Дніпрі (у т.ч. ПКД та експертиза)</t>
  </si>
  <si>
    <t>Реконструкція парку Перемоги по пр. Трубників в м. Нікополь Дніпропетровської області (у т.ч. ПКД та експертиза)</t>
  </si>
  <si>
    <t>Реконструкція міського парку ім. Б. Мозолевського в  м. Орджонікідзе Дніпропетровської області (у т.ч. ПКД та експертиза)</t>
  </si>
  <si>
    <t>Реконструкція та комплексний благоустрій вул. Пушкіна в м. Першотравенськ Дніпропетровської області (у т.ч. ПКД та експертиза)</t>
  </si>
  <si>
    <t>Реконструкція блоку фільтрів та відстойників на насосно-фільтрувальній станції МКП „Орджонікідзевське ВУВКГ” (у т.ч. ПКД та експертиза)</t>
  </si>
  <si>
    <t>Реконструкція водпровідних мереж м. Верхньодніпровськ (у т.ч. ПКД та експертиза)</t>
  </si>
  <si>
    <t>Реконструкція водогонів м. Верхівцеве (водопостачання північної сторони міста) (у т.ч. ПКД та експертиза)</t>
  </si>
  <si>
    <t>Реконструкція ділянки підвідного водогону для водопостачання сіл Орджонікідзе та Миколаївка Дніпропетровського району Дніпропетровської області (в т. ч. ПКД та експертиза)</t>
  </si>
  <si>
    <t>Будівництво водопровідної мережі в с. Сурсько-Литовське Дніпропетровської області. (у т. ч. ПКД та експертиза)</t>
  </si>
  <si>
    <t>Реконструкція насосної станції № 1 для водопостачання с. Любимівка на території Любимівської сільської ради Дніпропетровського району (у т. ч. ПКД та експертиза)</t>
  </si>
  <si>
    <t>Реконструкція насосної станції № 2 з заміною технологічного устаткування на території Любимівської сільської ради Дніпропетровського району (у т. ч. ПКД та експертиза)</t>
  </si>
  <si>
    <t>Реконструкція насосної станції № 2 з ремонтом будівлі та заміною електротехнічного устаткування на території Любимівської сільської ради Дніпропетровського району (в т. ч. ПКД та експертиза)</t>
  </si>
  <si>
    <t>Реконструкція каналізаційних мереж с. Кривбас Гейківської сільської ради Криворізького району (у т.ч. експертиза та виготовлення ПКД)</t>
  </si>
  <si>
    <t>Реконструкція мереж водопостачання с. Оленівка, Магдалинівського району Дніпропетровської області (у т.ч. ПКД та експертиза)</t>
  </si>
  <si>
    <t xml:space="preserve">Нове будівництво  магістрального водогону Томаківка – Кисличувате – Преображенка Томаківського району (у т.ч. ПКД та експертиза) </t>
  </si>
  <si>
    <t>Реконструкція житлового будинку № 118а по вул. Комсомольській в смт Царичанка Царичанського району Дніпропетровської області (у т. ч. ПКД та експертиза)</t>
  </si>
  <si>
    <t xml:space="preserve">Реконструкція оранжерейного комплексу по вул. Медова, 44 у м. Синельникове Дніпропетровської області </t>
  </si>
  <si>
    <t>Реконструкція площі Героїв у м. Новомосковську (I та II черги будівництва) (у т. ч. ПКД та експертиза)</t>
  </si>
  <si>
    <t>м. Вільногірськ</t>
  </si>
  <si>
    <t>Будівництво міського парку по вул Центральна м. Вільногірськ Дніпропетровської області (у т.ч. ПКД та експертиза)</t>
  </si>
  <si>
    <t>Реконструкція парку Гірників по вул. І. Малки в м. Покров Дніпропетровської області (у т.ч. ПКД та експертиза)</t>
  </si>
  <si>
    <t>Нове будівництво водогону від ІІ підйому до с. Виводове Томаківського району (у т.ч. ПКД та експертиза)</t>
  </si>
  <si>
    <t>Нове будівництво водогону від ІІ підйому до с. Вищетарасівка Томаківського району (у т.ч. експертиза та ПКД)</t>
  </si>
  <si>
    <t>Реконструкція 3-го підйому по вул. Альпова, 3 в м. Нікополь (коригування)</t>
  </si>
  <si>
    <t>Будівництво системи водопостачання сіл Парне, Катражка та селища Вишневецьке Синельниківського району Дніпропетровської області (у т.ч. ПКД та експертиза)</t>
  </si>
  <si>
    <t>Нове будівництво автодороги від мкр-ну Сонячний до вул. Спаської у м. Кривий Ріг Дніпропетровської області (у т.ч. ПКД та експертиза)</t>
  </si>
  <si>
    <t>Реконструкція вулиці Центральної та площі ім. І. Сірка в м. Орджонікідзе Дніпропетровської області (у тому числі виготовлення ПКД та експертиза)</t>
  </si>
  <si>
    <t>Комплексна термомодернізація будівлі КЗ „Дніпропетровська міська дитяча клінічна лікарня № 1 - Дніпропетровської обласної ради” у м. Дніпро ‒ реконструкція (у т.ч. ПКД та експертиза)</t>
  </si>
  <si>
    <t>Реконструкція частини благоустрою майданчику з улаштуванням об’єкта монументального мистецтва (стели з державною символікою) на 
пр. Д. Яворницького м. Дніпро (у т.ч. ПКД)</t>
  </si>
  <si>
    <t>Будівництво малого групового будинку за адресою: Дніпропетровська область, Петриковський район, смт Петриківка, вул. Краєвидна, 5-Б</t>
  </si>
  <si>
    <t>Реконструкція плавального басейну КЗО „Загальноосвітня санаторна школа-інтернат № 3” ДОР по вул. Прапорна, 25, м. Дніпропетровськ (у т.ч. ПКД)</t>
  </si>
  <si>
    <t>Реконструкція стадіону  КЗО ССЗШ № 126 з поглибленим вивченням французької мови, м. Дніпро (у т.ч. ПКД)</t>
  </si>
  <si>
    <t>Реконструкція ДНЗ № 254 по вул. Альвінського, 1, м. Дніпро (у т.ч. ПКД)</t>
  </si>
  <si>
    <t>Реконструкція ДНЗ № 41 по вул. Молодогвардійській, 24д, м. Дніпро (у т.ч. ПКД)</t>
  </si>
  <si>
    <t>Реконструкція дошкільного закладу № 243, Жовтневий район, вул. Кропивницького, 65, м. Кривий Ріг (у т.ч. ПКД)</t>
  </si>
  <si>
    <t>Реконструкція стадіону КЗ „Нікопольська середня загальньоосвітня
школа І – ІІІ ступенів № 19” м. Нікополь, вул. Добролюбова, 47 (у т.ч. ПКД)</t>
  </si>
  <si>
    <t>Реконструкція стадіону КЗ „Спеціалізована природничо-математична
школа І – ІІІ ступенів при Дніпропетровському Національному
університеті ім. О. Гончара” м. Нікополь, вул. Каштанова, 62 (у т.ч. ПКД)</t>
  </si>
  <si>
    <t>Будівництво ЗОШ № 13 по вул. Спаська, 42 в м. Новомосковськ, Дніпропетровської області (у т.ч. ПКД)</t>
  </si>
  <si>
    <t>Реконструкція будівлі ЗШ № 2 (корпус 2)  для подальшого переводу в НВК № 2 по вул. Полтавська, 148 (замість вул. Московська, 123), м. Павлоград Дніпропетровської області (Коригування), у т.ч. ПКД</t>
  </si>
  <si>
    <t>Реконструкція стадіону ЗОШ № 1 за адресою вул. Озерна, 59, м. Павлоград Дніпропетровської області</t>
  </si>
  <si>
    <t>Реконструкція стадіону ЗШ № 3 за адресою: вул. Соборна, 3, м. Павлоград Дніпропетровської області</t>
  </si>
  <si>
    <t>Реконструкція стадіону загальноосвітньої школи І – ІІІ ступенів № 1 по
вул. Б. Хмельницького, 106 в м. Апостолове Дніпропетровської області (у т.ч. ПКД)</t>
  </si>
  <si>
    <t>Реконструкція НВК № 1 ім. Коцюбинського смт Васильківка Васильківського району Дніпропетровської області (у т.ч. ПКД)</t>
  </si>
  <si>
    <t>Реконструкція комунального закладу Верхівцевський НВК „Середня загальноосвітня школа № 1 – дошкільний навчальний заклад” Верхньодніпровської районної ради (у т.ч. ПКД)</t>
  </si>
  <si>
    <r>
      <t xml:space="preserve">Реконструкція </t>
    </r>
    <r>
      <rPr>
        <sz val="12"/>
        <rFont val="Times New Roman"/>
        <family val="1"/>
        <charset val="204"/>
      </rPr>
      <t>будівель та споруд стадіону комунального закладу Верхівцевський НВК „Середня загальноосвітня школа № 1 – дошкільний навчальний заклад” Верхньодніпровської районної ради (у т.ч. ПКД)</t>
    </r>
  </si>
  <si>
    <t>Будівництво ДНЗ на 115 місць за адресою: вул. Центральна, с. Балівка Дніпровського району (у т.ч. ПКД)</t>
  </si>
  <si>
    <t>Будівництво ДНЗ на 80 місць за адресою: вул. Шкільна, 2, с. Старі Кодаки Дніпровського району Дніпропетровської області (у т.ч. ПКД)</t>
  </si>
  <si>
    <t>Будівництво навчально-виховного комплексу на території КЗ „Обухівська загальноосвітня школа № 2 І – ІІІ ступенів” Дніпровської районної ради Дніпропетровської області”, розташованої за адресою: 
смт Обухівка, вул. Солідарності, 49 (у т.ч. ПКД)</t>
  </si>
  <si>
    <t>Будівництво ДНЗ на 115 місць за адресою: вул. Шкільна, 17а, с. Чумаки Дніпровського району (у т.ч. ПКД)</t>
  </si>
  <si>
    <t>Реконструкція Глеюватського дитячого садка  по вул. Кірова, 2а, с. Глеюватка Криворізького району Дніпропетровської області (у т.ч. ПКД)</t>
  </si>
  <si>
    <t>Реконструкція опорної школи смт Магдалинівка, вул. Центральна, 12 Магдалинівський район Дніпропетровської області (у т.ч. ПКД)</t>
  </si>
  <si>
    <t>Реконструкція стадіону опорної школи смт Магдалинівка, вул. Центральна, 12 Магдалинівський район Дніпропетровської області (у т.ч. ПКД)</t>
  </si>
  <si>
    <t>Реконструкція лівого крила школи с. Котовка Магдалинівського району Дніпропетровської області</t>
  </si>
  <si>
    <t>Реконструкція стадіону РКЗО „Межівська СЗШ № 1” (дві філії) вул. Учительська, 7, смт Межова Межівського району Дніпропетровської області (у т.ч. ПКД)</t>
  </si>
  <si>
    <t>Будівництво ДНЗ на 115 місць в смт Червоногригорівка Нікопольського району (у т.ч. ПКД)</t>
  </si>
  <si>
    <t>Реконструкція будівлі дитячого садка в с. Чкалове Нікопольського району Дніпропетровської області (коригування) (у т.ч. ПКД)</t>
  </si>
  <si>
    <t>Реконструкція стадіону опорної школи № 1 по вул. Калинова, 5 в м. Перещепине, Новомосковського району, Дніпропетровської області (у т.ч. ПКД)</t>
  </si>
  <si>
    <t>Реконструкція стадіону Петропавлівської ЗОШ № 2 смт Петропавлівка Петропавлівського району Дніпропетровської області (у т.ч. ПКД)</t>
  </si>
  <si>
    <t>Реконструкція стадіону Петриківської школи з профільним виробничим
навчанням І – ІІІ ступенів по проспекту Петра Калнишевського, 71а в 
смт Петриківка Петриківського району Дніпропетровської області (у т.ч. ПКД)</t>
  </si>
  <si>
    <t>Реконструкція стадіону КЗ освіти „НВК „ЗОШ І – ІІІ ступенів № 1 – Покровський ліцей”, смт Покровське, Покровського району Дніпропетровської області (у т.ч. ПКД)</t>
  </si>
  <si>
    <t>Реконструкція стадіону та елементів благоустрою комунального опорного загальноосвітнього навчального закладу „Іларіонівська середня загальноосвітня школа I – III ступенів Синельниківської районної ради Дніпропетровської області” по вул. Європейська, 3, смт Іларіонове (у т.ч. ПКД)</t>
  </si>
  <si>
    <t>Реконструкція стадіону Томаківської  ЗОШ I – III ступенів № 1 по вул. Ватутіна, 7 в смт Томаківка (у т.ч. ПКД)</t>
  </si>
  <si>
    <t>Реконструкція будівлі КП „Дніпропетровський обласний клінічний центр кардіології та кардіохірургії” ДОР” за адресою: вул. Князя Володимира Великого, буд. 28, м. Дніпро (І черга), (у т.ч. ПКД)</t>
  </si>
  <si>
    <t>Реконструкція будівлі КЗ „Дніпропетровська обласна клінічна офтальмологічна лікарня” в комплексі забудови пл. Жовтнева, 14, м. Дніпропетровськ (коригування), у т.ч.ПКД</t>
  </si>
  <si>
    <t>Реконструкція головного корпусу блок № 2 (сходово-ліфтовий вузол) з переходом до блоку № 6 КЗ ДОДКЛ по вул. Космічній, 13, м. Дніпропетровськ (у т.ч. ПКД)</t>
  </si>
  <si>
    <t>Реконструкція корпусу платної поліклініки КЗ „Дніпропетровська обласна клінічна лікарня ім. І.І. Мечникова” під центр діагностики та реабілітації постраждалих в зоні АТО (у т.ч. ПКД)</t>
  </si>
  <si>
    <t>Будівництво будівлі під амбулаторію ЗПСМ КЗ „Нікопольський центр первинної медико-санітарної допомоги” по вул. Чалого, м. Нікополь (у т.ч. ПКД)</t>
  </si>
  <si>
    <t>Реконструкція будівель під центр соціальної реабілітації дітей-інвалідів по
вул. Вільна, 2а, м. Кривий Ріг (у т.ч. ПКД)</t>
  </si>
  <si>
    <t>Будівництво будинку культури в с. Новоолександрівка по вул. Парковій, 1-К Дніпровського району Дніпропетровської області (у т.ч. ПКД)</t>
  </si>
  <si>
    <t>Реконструкція стадіону „Трудові резерви”, м. Дніпропетровськ. Благоустрій території (у т.ч. ПКД)</t>
  </si>
  <si>
    <t>Реконструкція ТП стадіону „Трудові резерви”, м. Дніпропетровськ, у т.ч. ПКД</t>
  </si>
  <si>
    <t>Реконструкція стадіону „Трудові резерви”, м. Дніпропетровськ. Крита спортивно-демонстраційна споруда для спортивних ігор (у т.ч. ПКД)</t>
  </si>
  <si>
    <t>Реконструкція мереж газопостачання, розташованих на території стадіону „Трудові резерви”, м. Дніпро (винос мереж), (у т.ч. ПКД)</t>
  </si>
  <si>
    <t>Реконструкція  стадіону „Металург”, розташованого за адресою: вул. Паланочна, 6/1, м. Новомосковськ, Дніпропетровської області (у т.ч. ПКД)</t>
  </si>
  <si>
    <t>Реконструкція  КБУ „Фізкультурно-спортивний комплекс ім. В.М. Шкуренко” по вул. Корольова Сергія, 1А, м. Павлоград (у т.ч. ПКД)</t>
  </si>
  <si>
    <t>Реконструкція  комунального закладу „Комунальний позашкільний навчальний заклад „Дитячо-юнацька спортивна школа м. Покров Дніпропетровської області” вул. Горького, буд. 12 (у т.ч. ПКД)</t>
  </si>
  <si>
    <t>Реконструкція стадіону зі спорудами, які знаходяться на його території, розташованого за адресою: м. Верхньодніпровськ, вул. Федоровського (у т.ч. ПКД)</t>
  </si>
  <si>
    <t>Реконструкція глядацьких трибун з улаштуванням навісу фізкультурно-спортивного комплексу ім. А. Скорука по вул. Б. Хмельницького, 48а в смт Томаківка Томаківського району (у т.ч. ПКД)</t>
  </si>
  <si>
    <t>Будівництво житлового будинку в сел. Слобожанське Дніпровського району (у т.ч. ПКД)</t>
  </si>
  <si>
    <t>Троїцький собор в м. Новомосковську – реставрація. Коригування (у т.ч. ПКД)</t>
  </si>
  <si>
    <t>Реконструкція першого поверху терапевтичного корпусу під відділення невідкладної (екстреної) медичної допомоги КЗ „Дніпропетровське клінічне об’єднання швидкої медичної допомоги” Дніпропетровської
обласної ради” по вул. Свердлова, 65 м. Дніпропетровську (у т.ч. ПКД)</t>
  </si>
  <si>
    <t>Реконструкція нежитлового приміщення КЗ Дніпровський центр первинної медико-санітарної допомоги № 7 за адресою: вул. Надії Алексєєнко, 30, м. Дніпро, під розміщення амбулаторії загальної практики сімейної медицини</t>
  </si>
  <si>
    <t>Реконструкція нежитлових приміщень КЗ „ДЦПМСД” № 10 під амбулаторії  сімейної медицини за адресою: вул. Буковинська, 5 м. Дніпро” (у т.ч. ПКД)</t>
  </si>
  <si>
    <t>Приміщення під амбулаторію № 7 „Центру первинної медико-санітарної допомоги № 3” за адресою: мкр.7 Зарічний, 9а, м. Кривий Ріг – реконструкція (у т.ч. ПКД)</t>
  </si>
  <si>
    <t>Приміщення під амбулаторію „Центру первинної медико-санітарної допомоги № 5” в селищі Ілліча, м. Кривий Ріг – реконструкція (у т.ч. ПКД )</t>
  </si>
  <si>
    <t>Реконструкція приміщень під амбулаторію № 4 „Центру первинної медико-санітарної допомоги № 2” по вул. Електрозаводській, 22а в м. Кривий Ріг Дніпропетровської області (у т.ч. ПКД)</t>
  </si>
  <si>
    <t>Реконструкція приміщень під 3 амбулаторії „Центру первинної медико-санітарної допомоги № 3” по вул. Тухачевського, 33а в м. Кривий Ріг Дніпропетровської області (у т.ч. ПКД)</t>
  </si>
  <si>
    <t>Реконструкція приміщень під амбулаторію „Центру первинної медико-санітарної допомоги № 4” по вул. Павлика Морозова,15 в м. Кривий Ріг Дніпропетровської області (у т.ч. ПКД)</t>
  </si>
  <si>
    <t>Реконструкція приміщень під амбулаторію „Центру первинної медико-санітарної допомоги № 4” на мкр. Ювілейний, 8а в м. Кривий Ріг Дніпропетровської області (у т.ч. ПКД)</t>
  </si>
  <si>
    <t>Реконструкція приміщень під амбулаторію „Центру первинної медико-санітарної допомоги № 5” у Військовому містечку-33, 14 в м. Кривий Ріг Дніпропетровської області (у т.ч. ПКД)</t>
  </si>
  <si>
    <t>Реконструкція приміщень під амбулаторію „Центру первинної медико-санітарної допомоги № 6” по вул. Переяславській, 18 в м. Кривий Ріг Дніпропетровської області (у т.ч. ПКД)</t>
  </si>
  <si>
    <t>Реконструкція приміщень 1-го поверху КЗ „Криворізька міська клінічна лікарня № 2 Дніпропетровської обласної ради” під відділення  екстреної (невідкладної) медичної допомоги за адресою: м. Кривий Ріг, майдан 30-річчя Перемоги, 2 (у т.ч. ПКД)</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</si>
  <si>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 541 (у т.ч. ПКД)</t>
  </si>
  <si>
    <t>Реконструкція малої арени стадіону „Перемога” за адресою: просп. Аношкіна, 109, м. Дніпродзержинськ (у т.ч. ПКД)</t>
  </si>
  <si>
    <t>Реконструкція будівлі Павлоградського навчально-виховного комплексу „Дошкільний навчальний заклад — загальноосвітній навчальний заклад № 22” по вул. Баумана, 61 в м. Павлоград Дніпропетровської області (коригування), у т.ч. ПКД</t>
  </si>
  <si>
    <t>Реконструкція майстерні в житловий корпус № 5 у комунальному закладі „Васильківський психоневрологічний будинок-інтернат” Дніпропетровської обласної ради. Коригування (у т.ч. ПКД)</t>
  </si>
  <si>
    <t>Реконструкція гуртожитку на 100 місць під спальний корпус КЗ „Стародобровільський ПНІ” ДОР” по вул. Степовій, 2-В с. Стародобровільське Широківського р-ну Дніпропетровської обл.</t>
  </si>
  <si>
    <t>Будівництво амбулаторії на 3-4 лікаря без житла за адресою: Дніпропетровська область, Верхньодніпровський район, с. Пушкарівка, вул. Ілляшевської, 22-в (у т.ч. ПКД)</t>
  </si>
  <si>
    <t>Будівництво амбулаторії на 1-2 лікаря з житлом за адресою: Дніпропетровська область, Криничанський район, с. Адамівка, вул. Нова, 5 (у т.ч. ПКД)</t>
  </si>
  <si>
    <t>Будівництво амбулаторії на 1-2 лікаря з житлом за адресою: Дніпропетровська область, Криничанський район, смт Божедарівка, вул. Медична,1 (у т.ч. ПКД)</t>
  </si>
  <si>
    <t>Будівництво амбулаторії на 1-2 лікаря з житлом за адресою: Дніпропетровська область, Нікопольський район, с. Придніпровське, вул. Високовольтна, 33-б (у т.ч. ПКД)</t>
  </si>
  <si>
    <t>Будівництво амбулаторії на 1-2 лікаря з житлом за адресою: Дніпропетровська область, Нікопольський район, с. Чкалове, вул. Дружби, 61В (у т.ч. ПКД)</t>
  </si>
  <si>
    <t>Будівництво амбулаторії на 1-2 лікаря з житлом за адресою: Дніпропетровська область, Нікопольський район, с. Південне, вул. Центральна, 13 Б (у т.ч. ПКД)</t>
  </si>
  <si>
    <t>Будівництво амбулаторії на 3-4 лікаря без житла за адресою: Дніпропетровська область, Петропавлівський район, в с. Миколаївка, вул. Шкільна, 9 (у т.ч. ПКД)</t>
  </si>
  <si>
    <t>Будівництво амбулаторії на 1-2 лікаря без житла за адресою: Дніпропетровська область, Петриківський район с. Лобойківка, вул. Пати, 7 (у т.ч. ПКД)</t>
  </si>
  <si>
    <t>Будівництво амбулаторії на 1-2 лікаря з житлом за адресою: Дніпропетровська область, Царичанський район, с. Бабайківка, вул. Центральна, 46 (у т.ч. ПКД)</t>
  </si>
  <si>
    <t>Будівництво амбулаторії на 1-2 лікаря без житла за адресою: Дніпропетровська область, Широківський район, в с. Шестірня, вул. Українська, 62 (у т.ч. ПКД)</t>
  </si>
  <si>
    <t>Реконструкція частини приміщень будинку культури під дошкільний навчальний заклад в с.Топчине Магдалинівського району Дніпропетровської області (у т.ч. ПКД)</t>
  </si>
  <si>
    <t>„Реконструкція існуючих мініфутбольних майданчиків на спортивному комплексі „Олімпійські резерви „КСНЗСП „ДВУФК” ДОР” за адресою: пр. Богдана Хмельницького, 29 А у м. Дніпро”</t>
  </si>
  <si>
    <t>Реконструкція підвального приміщення під електричну модульну установку на основі електродних котлів. Коригування. КЗО „Нікопольський навчально-реабілітаційний центр „Ніка” ДОР” по вул. Рижикова, 34 у м. Нікополь, Дніпропетровської області</t>
  </si>
  <si>
    <t>Реконструкція забору лікувальних грязей із озера Солоний лиман для КЗ „Дніпропетровська обласна фізіотерапевтична лікарня „Солоний лиман”</t>
  </si>
  <si>
    <t>Реконструкція суміщеного покриття м’якої покрівлі шляхом влаштування горищного скатного покриття з металочерепичною покрівлею будівлі дитячого відділення КЗ „Криворізький протитуберкульозний диспансер № 2” ДОР” за адресою: вул. Кемерівська, 35</t>
  </si>
  <si>
    <t>Реконструкція вузла обліку газу топочної складу № 1056 КЗ „База спеціального медичного постачання” ДОР” за адресою: м. Апостолово, вул. Медична (Фрунзе), 35а, Дніпропетровська обл.</t>
  </si>
  <si>
    <t>КЗ „Обласний центр екстреної медичної допомоги та медицини катастроф” ДОР” вул. Лікарняна, 1, м. Новомосковськ, Дніпропетровська область. Реконструкція комерційного вузла обліку газу: топкова</t>
  </si>
  <si>
    <t>Реконструкція мереж 0,4 кВ в КЗ „Нікопольський дитячий санаторій” ДОР”, розташований за адресою: м. Нікополь, вул. Гагаріна, 76</t>
  </si>
  <si>
    <t>Реконструкція вузла обліку газу при виконанні робіт по організації каналу  дистанційної передачі даних від вузла обліку природного газу по ПК верхнього рівня на базі GPRS модем ТБК КЗ „ОЦЕМД та МК” ДОР” за адресою: м. Павлоград, вул. Дніпровська, 213, Дніпропетровська обл.</t>
  </si>
  <si>
    <t>„Реконструкція котельні Стародобровільського психоневрологічного інтернату, Дніпропетровська обл., Широківський р-н, с. Стародобровільське, 
вул. Степова, 2в”</t>
  </si>
  <si>
    <t>Реставрація великої концертної зали у будинку КП „Дніпропетровська філармонія імені Л.Б. Когана” ДОР” за адресою: м. Дніпро, вул. Воскресенська, 6</t>
  </si>
  <si>
    <t xml:space="preserve">Реконструкція водоводів № 2, № 3 комунального підприємства Дніпропетровської обласної ради „Аульський водовід”, ПК-325 </t>
  </si>
  <si>
    <t>Реконструкція системи гарячого водопостачання та опалення з встановленням геліосистеми в Комунальному дошкільному навчальному закладі (ясла-садок) загального розвитку № 7 „Івушка” Підгородненської міської ради по вул. Шосейна, 99-а в м. Підгородне Дніпровського району Дніпропетровської області (у т. ч. ПКД та експертиза)</t>
  </si>
  <si>
    <t>Реконструкція стадіону НВК для комунального закладу освіти „Заклад дошкільної освіти (ясла-садок) гімназія № 25” Дніпровської міської ради, розташованого за адресою вул. Бориса Кротова, 19, м. Дніпро, (у т.ч. ПКД)</t>
  </si>
  <si>
    <t>Реконструкція будівлі КЗ „Дніпропетровський обласний клінічний центр кардіології та кардіохірургії” ДОР”, (у т.ч. ПКД)</t>
  </si>
  <si>
    <t>Реконструкція систем киснезабезпечення (з улаштуванням автономного джерела) педіатричного та хірургічного корпусів КЗ „Дніпропетровський спеціалізований клінічний медичний центр матері та дитини ім. проф. М.Ф. Руднєва” ДОР по проспекту Пушкіна, 26 у м. Дніпропетровську. Коригування.</t>
  </si>
  <si>
    <t>Реконструкція даху головного  корпусу КЗ „Криворізький протитуберкульозний диспансер № 2” ДОР” по вул. Кемерівська, 35, м. Кривий Ріг</t>
  </si>
  <si>
    <t>Реконструкція дощової та напірно-господарчо-побутової каналізації та насосної станції спортивного комплексу комунального спеціалізованого навчального закладу спортивного профілю „Дніпропетровського вищого училища фізичної культури Дніпропетровської обласної ради” вул. Героїв Сталінграда, 29а (у т.ч. ПКД)</t>
  </si>
  <si>
    <t>Реконструкція стадіону Позашкільного навчального закладу „Дитячо-юнацька спортивна школа” за адресою: вул. Героїв України, 4в, м. Павлоград</t>
  </si>
  <si>
    <t>Реконструкція футбольного поля на території спортивного комплексу „Мрія” по вул. Центральній, 1-Б в смт Магдалинівка Магдалинівського району Дніпропетровської області (у т.ч. ПКД)</t>
  </si>
  <si>
    <t>Реконструкція будівлі КЗ „Дніпропетровська обласна клінічна офтальмологічна лікарня” в комплексі забудови пл. Жовтнева,14, м. Дніпропетровськ (І черга)</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</si>
  <si>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 Коригування, в т.ч. ПКД</t>
  </si>
  <si>
    <t>Реконструкція відділення постінтенсивного догляду та виходжування новонароджених КЗ „Дніпропетровський обласний перинатальний центр зі стаціонаром” ДОР по вул. Космічна, 17 в м. Дніпропетровськ (у т.ч. ПКД)</t>
  </si>
  <si>
    <t>Будівництво спортивного плавального басейну на території КПНЗ „Дитяча юнацька спортивна школа № 3” Криворізької міської ради по вул. Зарічній, 3 у м. Кривий Ріг Дніпропетровської області (у т.ч. ПКД)</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</si>
  <si>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 (у т. ч. ПКД)</t>
  </si>
  <si>
    <t>Реконструкція будівлі КПНЗ „Палац дитячої та юнацької творчості Центрально-Міського району” Криворізької міської ради, м. Кривий Ріг Дніпропетровської області (у т.ч. ПКД)</t>
  </si>
  <si>
    <t>Реконструкція частини будівлі амбулаторії № 1, 3  КЗ „Нікопольський центр первинної медико-санітарної допомоги” під дитяче стаціонарне та консультативно-діагностичне відділення за адресою: м. Нікополь, проспект Трубників, буд. 47 (у т.ч. ПКД)</t>
  </si>
  <si>
    <t>Реконструкція нежитлового приміщення КЗ „Дніпровський центр первинної медико-санітарної допомоги № 2” за адресою: вул. Козака Мамая, 26, м. Дніпро, під розміщення амбулаторії загальної практики сімейної медицини</t>
  </si>
  <si>
    <t>Реконструкція окремо розташованої будівлі комунального закладу „Дошкільний навчальний заклад (ясла-сад) № 23 „Дзвіночок” Кам`янської міської ради дошкільний заклад для дітей від 3 до 6 років. За адресою: вул. Чорновола, 77 (у т.ч. ПКД)</t>
  </si>
  <si>
    <t>Реконструкція комунального закладу „Дошкільний навчальний заклад (ясла-садок) – центр розвитку дитини № 27 „Орлятко” Кам’янської міської ради за адресою: просп. Наддніпрянський, 5 (у т.ч. ПКД)</t>
  </si>
  <si>
    <t>П’ятихатський район</t>
  </si>
  <si>
    <t>Інформаційно-методичне та просвітницьке забезпечення в галузі охорони здоров’я</t>
  </si>
  <si>
    <t>Забезпечення діяльності інших закладів у сфері охорони здоров’я</t>
  </si>
  <si>
    <t>Реконструкція вузла комерційного обліку витрат природного газу (з ПКД) КЗ „Кам’янський протитуберкульозний диспансер” ДОР” за адресою смт. Новомиколаївка, вул. Калініна, 2</t>
  </si>
  <si>
    <t>субвенція з обласного бюджету до місцевих бюджетів на капітальні видатки  та облаштування об’єктів соціально- культурної сфери</t>
  </si>
  <si>
    <t>Реконструкція міського парку м. П’ятихатки Дніпропетровської області (у т.ч. ПКД та експертиза)</t>
  </si>
  <si>
    <t>Будівництво об’єктів житлово-комунального господарства</t>
  </si>
  <si>
    <t>Будівництво автомобільної дороги державного значення М-04 Знам’янка-Луганськ-Ізварине (на м. Волгоград через мм. Дніпро, Донецьк) на ділянці обходу м. Дніпра від автомобільної дороги державного значення Н-08 Бориспіль-Дніпро-Запоріжжя (через м. Кременчук)-Маріуполь до межі м. Дніпра, штучні споруди для проїзду сільгосптехніки</t>
  </si>
  <si>
    <t>Будівництво спортивно-оздоровчого комплексу по вулиці Шатровій, м. П’ятихатки. (у т.ч. ПКД)</t>
  </si>
  <si>
    <t>Реконструкція блоку допоміжних приміщень стадіону по вул. Центральній, 112 в смт Юр’ївка Юр’ївського району Дніпропетровської області (у т.ч. ПКД)</t>
  </si>
  <si>
    <t>Виконання інвестиційних проектів в рамках реалізації заходів, спрямованих на розвиток системи охорони здоров’я у сільській місцевості</t>
  </si>
  <si>
    <t>Будівництво амбулаторії на 1-2 лікаря з житлом за адресою: Дніпропетровська область, Межівський район, с. Слов’янка, вул. Богуна, 8 (у т.ч. ПКД)</t>
  </si>
  <si>
    <t>Будівництво амбулаторії на 1-2 лікаря без житла за адресою: Дніпропетровська область, Юр’ївський район, смт Юр’ївка, вул. Вишнева, 61 (у т.ч. ПКД)</t>
  </si>
  <si>
    <t>субвенція з обласного бюджету бюджетам об’єнаних територіальних громад на створення центрів безпеки</t>
  </si>
  <si>
    <t>Підготовка кадрів вищими навчальними закладами І – ІІ рівнів акредитації (коледжами, технікумами, училищами)</t>
  </si>
  <si>
    <t>Реконструкція існуючих приміщень відділення рентгенендоваскулярної  хірургії  з встановленням ангіографічної системи в КЗ „ДОКЦКК” ДОР” за адресою вул. Князя Володимира Великого, 28  м. Дніпро. Корпус Б-5.</t>
  </si>
  <si>
    <t>Реконструкція вузла обліку газу об’єкту за адресою: Дніпропетровська область,
м. Верхньодніпровськ, вул. Гагаріна, 16 КЗ „Обласний центр екстреної медичної допомоги та медицини катастроф” ДОР”</t>
  </si>
  <si>
    <t>Реконструкція газопостачання підприємства КЗ „Обласний центр екстреної медичної допомоги та медицини катастроф” ДОР” за адресою: м. Дніпро,
вул. Каруни, буд. 93</t>
  </si>
  <si>
    <t>Реконструкція індивідуального теплового пункту та системи теплопостачання КЗ „Дніпропетровський обласний перинатальний центр зі стаціонаром” ДОР” по
вул. Космічна, 17, м. Дніпро (експертиза ПКД)</t>
  </si>
  <si>
    <t>Реконструкція вузла обліку витрат природного газу об’єкту – комунального закладу „Криворізький психоневрологічний інтернат” Дніпропетровської  обласної ради” за адресою по вул. Треньова, б.15, м. Кривий Ріг</t>
  </si>
  <si>
    <t>Реконструкція газової котельні КЗ „Панасівський ГП” ДОР за адресою:
вул. Північна, б. 36, с. Панасівка Новомосковського району Дніпропетровської області</t>
  </si>
  <si>
    <t>Реконструкція котельні КЗ „Верхівцевський психоневрологічний інтернат” ДОР в
м. Верхівцеве Верхньодніпровського району Дніпропетровської області</t>
  </si>
  <si>
    <t>Підготовка кадрів вищими навчальними закладами ІІІ – ІV рівнів акредитації (університетами, академіями, інститутами)</t>
  </si>
  <si>
    <t>Протиаварійні роботи пам’ятки історії місцевого значення охор. № 1525 – будівля музею „Літературне Придніпров’я” за адресою: м. Дніпро, просп. Дмитра Яворницького, 64</t>
  </si>
  <si>
    <t xml:space="preserve">Реконструкція вузла обліку газу будівлі КПК „Дніпровський академічний театр драми  та комедії” Дніпропетровської обласної ради за адресою:  м. Дніпро,
пр. Дмитра Яворницького, 97 </t>
  </si>
  <si>
    <t>Виготовлення проектно-кошторисної документації на реставрацію великої концертної зали КП „Дніпропетровська філармонія імені Л.Б. Когана” ДОР” за адресою: м. Дніпро, вул. Воскресенська, 6</t>
  </si>
  <si>
    <t>Виготовлення проектно-кошторисної документації на реконструкцію технічного приміщення під санвузол для осіб з інвалідністю та інших маломобільних груп населення в будівлі Комунального закладу культури „Дніпровський академічний український музично-драматичний театр ім. Т.Г. Шевченка” Дніпропетровської обласної ради”, за адресою: м. Дніпро, вул. Воскресенська, буд. 5</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</si>
  <si>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</si>
  <si>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Реконструкція зони відпочинку в районі вулиці Бульварної м. Марганець Дніпропетровської області у т.ч. експертиза та виготовлення ПКД</t>
  </si>
  <si>
    <t>Реконструкція насосної станції № 3 та ділянки водогону від НС для водопостачання с. Перше Травня на території Любимівської сільської ради Дніпропетровського району (у т. ч. ПКД та експертиза)</t>
  </si>
  <si>
    <t>Будівництво водогону, закільцювання від вул. Шевченка смт Кринички
до вул. Панаса Мирного с. Гримуче Криничанського району Дніпропетровської області (у т.ч. ПКД та експертиза)</t>
  </si>
  <si>
    <t>Реконструкція котельні Межівської СЗШ I – III ступенів № 1 Межівського району Дніпропетровської області, смт Межова, вул. Учительська, 7, установка додаткового котла на твердому паливі в існуючій котельні (у т. ч. ПКД та експертиза)</t>
  </si>
  <si>
    <t>Реконструкція котельні № 9 та теплових мереж  дочірнього підприємства „Петриківкатеплоенерго” комунального підприємства „Дніпротеплоенерго” Дніпропетровської обласної ради” по вул. Кірова, 78А, с. Іванівка Петриківського району</t>
  </si>
  <si>
    <t xml:space="preserve">Реконструкція ділянок магістрального водоводу Макорти – НФС – м. П’ятихатки Дніпропетровської області </t>
  </si>
  <si>
    <t>Нове будівництво магістрального водогону Кринички – Затишне – Гуляйполе Криничанського району Дніпропетровської області (у т.ч. ПКД та експертиза)</t>
  </si>
  <si>
    <t>Будівництво системи водопостачання об’єднаних громад сіл Новомиколаївка, Сурсько-Литовське, Сурсько-Клевцеве та Зелений Гай  Дніпропетровського району Дніпропетровської області (у т. ч. ПКД та експертиза)</t>
  </si>
  <si>
    <t>Реконструкція магістрального водогону від м. Кривий Ріг – с. Веселе Криворізького району (у т.ч. ПКД та експертиза)</t>
  </si>
  <si>
    <t>Водопостачання с. Червоне, Калініна, Гомельське, Рудничне Криворізького району – реконструкція (у т.ч. ПКД та експертиза)</t>
  </si>
  <si>
    <t>Реконструкція підвідного водоводу Нікополь – Південне в Нікопольському районі Дніпропетровської області (у т.ч. ПКД та експертиза)</t>
  </si>
  <si>
    <t>Нове будівництво підвідного водоводу Кривий Ріг – Зелений Гай Широківського району Дніпропетровської області (у т.ч. ПКД та експертиза)</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</si>
  <si>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транспортна розв’язка в двох рівнях на перетині з автомобільною дорогою Під’їзд до аеропорту „Дніпро”</t>
  </si>
  <si>
    <t xml:space="preserve">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транспортна розв’язка в двох рівнях на км 0+000 </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</si>
  <si>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перевлаштування комунікацій на ділянці км 3+673 - км 3+726</t>
  </si>
  <si>
    <t>Реконструкція частини скверу Героїв для інклюзивного дитячого майданчику
в м. Дніпро (у т.ч. ПКД)</t>
  </si>
  <si>
    <t>Будівництво малого групового будинку за адресою: Дніпропетровська область, Павлоградський район, с. Богданівка, вул. Шевченка, 30-а (у т.ч. ПКД)</t>
  </si>
  <si>
    <t>Реконструкція стадіону  КЗ освіти „Навчально-виховний комплекс № 104” „Середня загальноосвітня школа – дошкільний навчальний заклад (ясла-садок)” Дніпровської міської ради, м. Дніпро, вул. Ясенова, 65, Дніпропетровська область (у т.ч. ПКД)</t>
  </si>
  <si>
    <t>Реконструкція частини будівлі комунального закладу „Навчально-виховний комплекс „Загальноосвітній навчальний заклад І – ІІ ступенів – академічний ліцей № 15 м. Дніпродзержинська” Дніпродзержинської міської ради за адресою по вул. 40 років Перемоги, 10. Коригування (у т.ч. ПКД)</t>
  </si>
  <si>
    <t>Будівництво комунального закладу „Заклад дошкільної освіти (ясла-садок) № 47 „Горобинка” Кам’янської міської ради по вул. Воїнів-афганців, 16А, м. Кам’янське, Дніпропетровської області (у т.ч. ПКД)</t>
  </si>
  <si>
    <t>Реконструкція КЗ ДНЗ № 20 „Буратино” за адресою: м. Марганець, вул. Східний квартал, 12а (у т.ч. ПКД)</t>
  </si>
  <si>
    <t>Будівництво комунального дошкільного навчального закладу за адресою:
вулиця Київська, буд. 169, м. Марганець, Дніпропетровської області (у т.ч. ПКД)</t>
  </si>
  <si>
    <t>Будівництво спортивної зали з плавальним басейном та облаштуванням теплого переходу в КЗ „НСЗШ № 21” за адресою м. Нікополь, вул. Гагаріна, 161 (у т.ч. ПКД)</t>
  </si>
  <si>
    <t>Будівництво КДНЗ санаторного типу „Дивограй” за адресою: м. Нікополь,
вул. Івана Куценка (у т.ч. ПКД)</t>
  </si>
  <si>
    <t>Реконструкція дошкільного навчального закладу „Чебурашка” з улаштуванням автономної котельні по вул. Велика Ковалівка, 14 в м. Новомосковську (коригування) (у тому числі ПКД)</t>
  </si>
  <si>
    <t>Реконструкція дошкільного навчального закладу „Чебурашка” з улаштуванням автономної котельні по вул. Велика Ковалівка, 14, в м. Новомосковську”. Зовнішній газопровід (у т.ч. ПКД)</t>
  </si>
  <si>
    <t>Реконструкція комунального закладу „Навчально-виховний комплекс № 2 (середня школа I – III ступенів – дошкільний навчальний заклад) 
м. Покров Дніпропетровської області” вул. Л. Чайкіної, буд. 15 (у т.ч. ПКД)</t>
  </si>
  <si>
    <t>Реконструкція стадіону на території комунального закладу „Навчально-виховний комплекс № 2 (середня школа I – III ступенів – дошкільний навчальний заклад) 
м. Покров Дніпропетровської області” вул. Л. Чайкіної, буд. 15 (у т.ч. ПКД)</t>
  </si>
  <si>
    <t>Реконструкція спортивної  зали КЗ „Верхівцевська СЗШ № 2 І – ІІІ ст.” за адресою: вул. Зелена, 3, м. Верхівцево Верхньодніпровського району Дніпропетровської області (у тому числі ПКД)</t>
  </si>
  <si>
    <t>Технічне переоснащення котельні КЗ „Верхівцевська СЗШ № 2 І – ІІІ ст.” за адресою: вул. Зелена, 3, м. Верхівцево Верхньодніпровського району Дніпропетровської області (у т.ч.ПКД)</t>
  </si>
  <si>
    <t>Реконструкція будівлі КЗ „Сурсько-Литовська середня загальноосвітня школа за адресою: с. Сурсько-Литовське, вул. Шкільна, 35, Дніпровського району, Дніпропетровської області” (у т.ч. ПКД)</t>
  </si>
  <si>
    <t>Реконструкція КЗ „Волоська загальноосвітня школа I – III ступенів” за адресою:
сел. Волоське, вул. Набережна, 42, Дніпровського району Дніпропетровської області (у т.ч. ПКД)</t>
  </si>
  <si>
    <t>Технічне переоснащення котельні КЗ „Ганнівський НВК „Середня загальноосвітня школа-дошкільний навчальний заклад” Верхньодніпровської районної ради” за адресою: Дніпропетровська область, Верхньодніпровський район, с. Ганнівка,
вул. Янцева, 59А (у т.ч. ПКД)</t>
  </si>
  <si>
    <t>Реконструкція комунального дитячого закладу оздоровлення та відпочинку Дніпровського району „Ювілейний” (у т.ч. ПКД)</t>
  </si>
  <si>
    <t>Реконструкція існуючої будівлі спортивного комплексу Чаплинської середньої загальноосвітньої школи під навчально-виховний комплекс на 60 місць
по вул. Калініна, 2 в с. Чаплинці Петриківського району. Коригування (у т.ч. ПКД)</t>
  </si>
  <si>
    <t>Будівництво ДНЗ по вул. Центральна, 10а, смт Іларіонове Синельниківського р-ну (у т.ч. ПКД)</t>
  </si>
  <si>
    <t>Реконструкція  Виводівської ЗОШ І – ІІІ ступенів з прибудовою двох дошкільних груп, розташованої за адресою: вул. Надії Кулик, 11 с. Виводове, Томаківський район (у т.ч. ПКД)</t>
  </si>
  <si>
    <t>Реконструкція стадіону та елементів благоустрою Царичанської загальноосвітньої школи І – ІІІ ступенів в смт Царичанка Дніпропетровської області, вул. Соборна, 40-а (у т.ч. ПКД)</t>
  </si>
  <si>
    <t>Реконструкція 1-го психіатричного відділення КЗ „Дніпропетровська клінічна психіатрична лікарня” ДОР” під відділення профілактики та лікування СНІДу,
м. Дніпропетровськ (у т.ч. ПКД)</t>
  </si>
  <si>
    <t>Коригування проекту „Реконструкція м’якої покрівлі під шатровий дах із металочерепиці з утепленням фасадів корпусів КЗ „Дніпропетровська міська багатопрофільна клінічна лікарня № 4” ДОР” під „Реконструкція частини м’якої покрівлі під шатровий дах із металочерепиці з утепленням фасадів корпусів та влаштуванням центру реабілітації КЗ „Дніпропетровська міська багатопрофільна клінічна лікарня № 4” ДОР (у т.ч. ПКД)</t>
  </si>
  <si>
    <t>Реконструкція головного корпусу „ДОККЛПО „Фтизіатрія”  вул. Бехтєрєва, 12 
м. Дніпропетровськ, у т.ч. ПКД</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</si>
  <si>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(у т.ч. ПКД)</t>
  </si>
  <si>
    <t>Коригування проекту „Реконструкція м’якої покрівлі під шатровий дах з утепленням фасадів головного корпусу КЗ „Дитячий санаторій № 1” ДОР” під „Реконструкція з утепленням фасаду головного корпусу КЗ „Дитячий санаторій № 1” ДОР” по вул. Тополина, 41, м. Дніпро (у т.ч. ПКД)</t>
  </si>
  <si>
    <t>Реконструкція будівлі стаціонару та поліклініки комунального закладу „Клінічний онкологічний диспансер” ДОР по вул. Космічній, 21 у
м. Дніпропетровську. (Покрівля, фасади, заповнення віконних та дверних прорізів, благоустрій)</t>
  </si>
  <si>
    <t>Будівництво нової 2-х трансформаторної підстанції 6/0,4кВ з мережами 6кВ  по
вул. Свердлова у м. Дніпро, у т.ч. ПКД</t>
  </si>
  <si>
    <t>Реконструкція корпусу платної поліклініки КЗ „Дніпропетровська обласна клінічна лікарня  ім. І.І. Мечникова” під центр діагностики та реабілітації постраждалих в зоні АТО (I черга )(у т. ч. ПКД)</t>
  </si>
  <si>
    <t>Реконструкція покрівлі будівель комунального закладу „Верхівцевська міська лікарня” Верхньодніпровської районної ради, м. Верхівцеве, вул. Покровська, 2</t>
  </si>
  <si>
    <t>Реконструкція будівлі гуртожитку під амбулаторію ЗПСМ по вул. Гагаріна, 17
в с. Червоне Криворізького району Дніпропетровської області (у т.ч. ПКД)</t>
  </si>
  <si>
    <t>Реконструкція стадіону „Металург ім. О.І. Куценка” по просп. Трубників, 48 у
м. Нікополь (у т.ч. ПКД)</t>
  </si>
  <si>
    <t>Реконструкція будівлі майстерні під спортивні зали Позашкільного навчального закладу „Дитячо-юнацька спортивна школа” за адресою: вул. Героїв України, 4в,
м. Павлоград</t>
  </si>
  <si>
    <t>Реконструкція комунального закладу спорткомплекс „Дніпровець” за адресою:
вул. Набережна, 1 в, сел. Дніпровське Верхньодніпровський район (у т.ч. ПКД)</t>
  </si>
  <si>
    <t>Реконструкція футбольного поля на території спортивного комплексу „Мрія” по
вул. Центральній, 1-Б в смт Магдалинівка Магдалинівського району Дніпропетровської області (у т.ч. ПКД)</t>
  </si>
  <si>
    <t>Реконструкція Миколаївської ЗОШ І – ІІІ ступенів під навчально-виховний комплекс „Загальноосвітній навчальний заклад – дошкільний заклад”, розташованого за адресою: вул. Шкільна, 1 с. Миколаївка Новомосковський район Дніпропетровської області (у т.ч. ПКД)</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</si>
  <si>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</si>
  <si>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Реконструкція нежитлових приміщень КЗ „ДЦПМСД № 9” під амбулаторію сімейної медицини  за адресою: вул. Осіння, 13а м. Дніпропетровськ. Коригування (у т.ч. ПКД)</t>
  </si>
  <si>
    <t>Реконструкція нежитлових приміщень КЗ „ДЦПМСД № 10” під амбулаторію сімейної медицини № 8 за адресою: вул. Електрична, 15, м. Дніпро (у т.ч. ПКД)</t>
  </si>
  <si>
    <t>Реконструкція нежитлового приміщення КЗ „Дніпровський центр первинної медико-санітарної допомоги № 1” за адресою: м. Дніпро, пр. О. Поля, 59 під розміщення амбулаторії загальної практики сімейної медицини (у т.ч. ПКД)</t>
  </si>
  <si>
    <t>Реконструкція нежитлового приміщення КЗ „Дніпровський центр первинної медико-санітарної допомоги № 4” за адресою: м. Дніпро, вул. Новорічна, 77 під розміщення амбулаторії загальної практики сімейної медицини (у т.ч. ПКД)</t>
  </si>
  <si>
    <t>Реконструкція нежитлового приміщення КЗ „Дніпровський центр первинної медико-санітарної допомоги № 4” за адресою: м. Дніпро, вул. Набережна Перемоги, 118 під розміщення амбулаторії загальної практики сімейної медицини № 12 (у т.ч. ПКД)</t>
  </si>
  <si>
    <t>Реконструкція нежитлового приміщення КЗ „Дніпровський центр первинної медико-санітарної допомоги № 1” за адресою: м. Дніпро, проспект Богдана Хмельницкого 12-г під розміщення амбулаторії загальної практики сімейної медицини (у т.ч. ПКД)</t>
  </si>
  <si>
    <t>Реконструкція нежитлового приміщення КЗ „Дніпровський центр первинної медико-санітарної допомоги № 4” за адресою: вул. Сімферопольська 19, м. Дніпро, під розміщення амбулаторії загальної практики сімейної медицини (у т.ч. ПКД)</t>
  </si>
  <si>
    <t>Реконструкція нежитлового приміщення КЗ „Дніпровський центр первинної медико-санітарної допомоги № 4” за адресою: просп. Героїв 3, м. Дніпро, під розміщення амбулаторії загальної практики сімейної медицини (у т.ч. ПКД)</t>
  </si>
  <si>
    <t>Реконструкція нежитлового приміщення КЗ „Дніпровський центр первинної медико-санітарної допомоги № 5” за адресою: м. Дніпро, просп. Свободи, 99 під розміщення амбулаторії загальної практики сімейної медицини (у т.ч. ПКД)</t>
  </si>
  <si>
    <t>Реконструкція будівлі комунального закладу охорони здоров’я Дніпродзержинської міської ради „Центр первинної медико-санітарної допомоги № 3” за адресою:
вул. Республіканська, 31 під міський центр з профілактики та боротьби зі СНІДом (у т.ч. ПКД)</t>
  </si>
  <si>
    <t>Школа № 2 смт Межова Дніпропетровської області – реконструкція (у т.ч. ПКД)</t>
  </si>
  <si>
    <t>Будівництво амбулаторії на 1-2 лікаря з житлом за адресою: Дніпропетровська область, Межівський район, с. Іванівка, вул. Центральна, 64 (у т.ч. ПКД)</t>
  </si>
  <si>
    <t>Будівництво амбулаторії на 1-2 лікаря з житлом за адресою: Дніпропетровська область, Нікопольський район, с. Чистопіль, вул. Шевченка,1а (у т.ч. ПКД)</t>
  </si>
  <si>
    <t>Будівництво амбулаторії на 1-2 лікаря без житла за адресою: Дніпропетровська область, Петриківський район, с. Іванівка, вул. Центральна, 75-А (у т.ч. ПКД)</t>
  </si>
  <si>
    <t>Будівництво амбулаторії на 1-2 лікаря з житлом за адресою: Дніпропетровська область, Софіївський район, в с. Вакулове, вул. Каштанова, 32 (у т.ч. ПКД)</t>
  </si>
  <si>
    <t>Будівництво амбулаторії на 3-4 лікаря без житла за адресою: Дніпропетровська область, Томаківський район, смт Томаківка, вул. Шосейна, 11 (у т.ч. ПКД)</t>
  </si>
  <si>
    <t>Реконструкція КЗ „Волоська загальноосвітня школа I – III ступенів” за адресою: сел. Волоське, вул. Набережна, 42, Дніпровського району Дніпропетровської області (у т.ч. ПКД)</t>
  </si>
  <si>
    <t>Реконструкція стадіону та спортивних майданчиків КЗ „Слобожанський учбово-виховний комплекс № 1 „Загальноосвітня багатопрофільна школа ІІ – ІІІ ступенів – центр позашкільної освіти Слобожанської селищної ради, Дніпровського р-ну, Дніпропетровської області” за адресою: смт. Слобожанське, вул. Будівельників, 1</t>
  </si>
  <si>
    <t>Реконструкція Миколаївської ЗОШ І – ІІІ ступенів під навчально-виховний комплекс „Загальноосвітній навчальний заклад – дошкільний заклад”, розташованого за адресою: вул. Шкільна, 1  с. Миколаївка Новомосковський район Дніпропетровської області (у т.ч. ПКД)</t>
  </si>
  <si>
    <r>
      <t xml:space="preserve">Реконструкція будівлі дитячого садка „Сонечко” по вул. Миру, 32, с. Голубівка Новомосковського району Дніпропетровської області </t>
    </r>
    <r>
      <rPr>
        <sz val="12"/>
        <rFont val="Times New Roman"/>
        <family val="1"/>
        <charset val="204"/>
      </rPr>
      <t>(у т.ч. ПКД)</t>
    </r>
  </si>
  <si>
    <t xml:space="preserve">Реконструкція технічного приміщення під санвузол для осіб з інвалідністю та інших маломобільних груп населення в будівлі Комунального закладу культури „Дніпровський академічний український музично-драматичний театр
ім. Т.Г. Шевченка” Дніпропетровської обласної ради”, за адресою: м. Дніпро,
вул. Воскресенська, буд. 5 </t>
  </si>
  <si>
    <t>Будівництво набережної по вул. Паланочній від житлового будинку № 69 до
вул. Леваневського в м. Новомосковську. Коригування (у т.ч. ПКД та експертиза)</t>
  </si>
  <si>
    <t>Реконструкція системи водопостачання с. Майорка Дніпропетровського району
(у т. ч. ПКД та експертиза)</t>
  </si>
  <si>
    <t>Будівництво мережі водопостачання по вул. Центральна (Леніна), Поповича, Медова (Терешкової), Миру (Островського), Папаніна, Зарічна (Воровського)
с. Іванівка Межівського району Дніпропетровської області (у т.ч. ПКД та експертиза)</t>
  </si>
  <si>
    <t>Реконструкція пішоходного мосту через річку Вовча з вул. Соборної на парк
1-го Травня м. Павлограді Дніпропетровської області (у т.ч. ПКД та експертиза)</t>
  </si>
  <si>
    <t>Будівництво водоводу (с. Новоолексіївка) Новоолексіївської сільської ради,
(с. Євдокіївка,  с. Мар’ївка, с. Павлівка, с. Леніне, с. Калашники) Жовтневої сільської ради Софіївського району Дніпропетровської області (у т.ч. ПКД та експертиза)</t>
  </si>
  <si>
    <t>Реконструкція ділянок водогону Губиниха – Гвардійське та Видвиженець – Перещепине Новомосковського району Дніпропетровської області (у т.ч.ПКД та експертиза)</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</si>
  <si>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шляхопровід
на км 0+000</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</si>
  <si>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км 1+800 -
км 3+700</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</si>
  <si>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км 0+000 -
км 1+800</t>
  </si>
  <si>
    <t>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км 3+700 -
км 4+200</t>
  </si>
  <si>
    <t xml:space="preserve">Будівництво автомобільної дороги державного значення М-04 Знам’янка – Луганськ – Ізварине (на м. Волгоград через мм. Дніпро, Донецьк) на ділянці обходу м. Дніпра від автомобільної дороги державного значення Н-08 Бориспіль – Дніпро – Запоріжжя (через м. Кременчук) – Маріуполь до межі м. Дніпра, км 4+200 - межа
м. Дніпра </t>
  </si>
  <si>
    <t>Будівництво ділянки дороги другої черги Південного обходу м. Дніпра від межі
м. Дніпра до проїзної частини залізобетонного шляхопроводу через вул. Мільмана</t>
  </si>
  <si>
    <t>Реконструкція системи гарячого водопостачання та опалення з встановленням геліосистеми в Комунальному закладі „Марганецька спеціалізована школа
І – ІІІ ступенів № 2 з поглибленим вивченням англійської мови Марганецької міської ради Дніпропетровської області” по вул. Садова,18 в м. Марганець Дніпропетровської області (у т. ч. ПКД та експертиза)</t>
  </si>
  <si>
    <t>Реконструкція системи гарячого водопостачання та опалення з встановленням геліосистеми в Комунальному закладі „Любимівська загальноосвітня школа
І – ІІІ ступенів Дніпровської районної ради Дніпропетровської області” по
вул. Садова,1 в с. Любимівка  Дніпровського  району Дніпропетровської області
(у т. ч. ПКД та експертиза)</t>
  </si>
  <si>
    <t>Будівництво ДНЗ на 220 місць для Комунального закладу освіти „Заклад дошкільної освіти (ясла-садок) гімназія № 25” Дніпровської міської ради за адресою:
вул. Бориса Кротова, 19 м. Дніпро</t>
  </si>
  <si>
    <t>Реконструкція стадіону та елементів благоустрою НВК № 6
„Перспектива” по
вул. Я. Мудрого, 11-а у м. Жовті Води (у т.ч. ПКД)</t>
  </si>
  <si>
    <t>Реконструкція стадіону КЗ „Нікопольська середня загальньоосвітня школа
І – ІІІ ступенів № 2” м. Нікополь, вул. Героїв Чорнобиля, 68 (у т.ч. ПКД)</t>
  </si>
  <si>
    <t>Реконструкція частини загальноосвітньої школи під дитячий садок на 20 місць в
с. Велика Костромка Апостолівського району Дніпропетровської області. Коригування.</t>
  </si>
  <si>
    <t>Газопостачання модульної котельні для опалення будівлі дитячого садка про
вул. Центральна, 31Д в с. Миколаївка-1 Дніпровського району Дніпропетровської області, будівництво, у т.ч. ПКД</t>
  </si>
  <si>
    <t>Будівництво навчально-виховного комплексу на території КЗ „Підгородненська загальноосвітня школа № 4 І – ІІІ ступенів” Дніпровської районної ради Дніпропетровської області, розташованої за адресою: м. Підгородне,
вул. Партизанська, 58 (у т.ч. ПКД)</t>
  </si>
  <si>
    <t>Реконструкція комунального закладу „Слобожанська загальноосвітня школа
I ступеня № 2 Слобожанської селищної ради” по вул. Теплична, 30, 30а
в смт. Слобожанське Дніпровського району Дніпропетровської області</t>
  </si>
  <si>
    <t>Реконструкція комунального закладу „Башмачанський дошкільний навчальний заклад (дитячий садок) „Ромашка” Башмачанської сільської ради по
вул. Центральній, 36-А, с. Башмачка Солонянського району Дніпропетровської області (у т.ч. ПКД)</t>
  </si>
  <si>
    <t>Молодіжнянський навчально-виховний комплекс „Загальноосвітній навчальний заклад І – ІІІ ступенів – дошкільний навчальний заклад” Царичанського району – реконструкція, сел. Молодіжне, вул. Леніна, 26 Коригування. (у т.ч.ПКД)</t>
  </si>
  <si>
    <r>
      <t xml:space="preserve">Реконструкція системи киснепостачання корпусу стаціонару та полікліники КЗ „Клінічний онкологічний диспансер” Дніпропетровської обласної ради”
м. Дніпропетровськ, вул. Космічна, 21 </t>
    </r>
    <r>
      <rPr>
        <sz val="12"/>
        <rFont val="Times New Roman"/>
        <family val="1"/>
        <charset val="204"/>
      </rPr>
      <t>(у т.ч. ПКД)</t>
    </r>
  </si>
  <si>
    <t>Могилівський пансіонат геріатрії. Реконструкція. Посилення фундаментів.
с. Могилів – 1 Царичанського району Дніпропетровської області. (у т.ч. ПКД)</t>
  </si>
  <si>
    <t xml:space="preserve">Будівництво спортивно-оздоровчого комплексу на території парку Перемоги в
м. Нікополь по вул. Херсонська, у т.ч.  ПКД  </t>
  </si>
  <si>
    <t>Реконструкція комунального закладу „Слобожанська загальноосвітня школа
I ступеня № 2 Слобожанської селищної ради” по вул. Теплична, 30, 30а в
смт. Слобожанське Дніпровського району Дніпропетровської області</t>
  </si>
  <si>
    <t>„Реконструкція вузла обліку витрат природного газу об’єкта – КЗО „Криворізький багатопрофільний навчально-реабілітаційний центр ”Натхнення” ДОР”
по вул. Кропивницького, буд. 13, м. Кривий Ріг”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</si>
</sst>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96" formatCode="#,##0.0"/>
    <numFmt numFmtId="201" formatCode="0.0"/>
    <numFmt numFmtId="219" formatCode="#,##0.0_ ;[Red]\-#,##0.0\ "/>
    <numFmt numFmtId="220" formatCode="#,##0_ ;[Red]\-#,##0\ "/>
  </numFmts>
  <fonts count="51" x14ac:knownFonts="1">
    <font>
      <sz val="10"/>
      <name val="Times New Roman"/>
      <charset val="204"/>
    </font>
    <font>
      <sz val="11"/>
      <color indexed="8"/>
      <name val="Calibri"/>
      <family val="2"/>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0"/>
      <name val="Times New Roman"/>
      <family val="1"/>
      <charset val="204"/>
    </font>
    <font>
      <i/>
      <sz val="10"/>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sz val="11"/>
      <name val="Times New Roman"/>
      <family val="1"/>
      <charset val="204"/>
    </font>
    <font>
      <b/>
      <sz val="18"/>
      <name val="Times New Roman"/>
      <family val="1"/>
      <charset val="204"/>
    </font>
    <font>
      <sz val="10"/>
      <color indexed="8"/>
      <name val="Arial"/>
      <family val="2"/>
      <charset val="204"/>
    </font>
    <font>
      <i/>
      <sz val="11"/>
      <name val="Times New Roman"/>
      <family val="1"/>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3"/>
      <name val="Times New Roman"/>
      <family val="1"/>
      <charset val="204"/>
    </font>
    <font>
      <u/>
      <sz val="10"/>
      <name val="Times New Roman"/>
      <family val="1"/>
      <charset val="204"/>
    </font>
    <font>
      <b/>
      <u/>
      <sz val="11"/>
      <name val="Times New Roman"/>
      <family val="1"/>
      <charset val="204"/>
    </font>
    <font>
      <b/>
      <u/>
      <sz val="10"/>
      <name val="Times New Roman"/>
      <family val="1"/>
      <charset val="204"/>
    </font>
    <font>
      <sz val="14"/>
      <name val="Times New Roman"/>
      <family val="1"/>
      <charset val="204"/>
    </font>
    <font>
      <sz val="9"/>
      <name val="Times New Roman"/>
      <family val="1"/>
      <charset val="204"/>
    </font>
    <font>
      <b/>
      <sz val="16"/>
      <name val="Times New Roman"/>
      <family val="1"/>
      <charset val="204"/>
    </font>
    <font>
      <sz val="16"/>
      <name val="Times New Roman"/>
      <family val="1"/>
    </font>
    <font>
      <sz val="16"/>
      <name val="Arial Cyr"/>
      <charset val="204"/>
    </font>
    <font>
      <u/>
      <sz val="11"/>
      <name val="Times New Roman"/>
      <family val="1"/>
      <charset val="204"/>
    </font>
    <font>
      <b/>
      <i/>
      <sz val="11"/>
      <name val="Times New Roman"/>
      <family val="1"/>
      <charset val="204"/>
    </font>
    <font>
      <i/>
      <u/>
      <sz val="11"/>
      <name val="Times New Roman"/>
      <family val="1"/>
      <charset val="204"/>
    </font>
    <font>
      <i/>
      <u/>
      <sz val="10"/>
      <name val="Times New Roman"/>
      <family val="1"/>
      <charset val="204"/>
    </font>
    <font>
      <i/>
      <sz val="11"/>
      <color indexed="18"/>
      <name val="Times New Roman"/>
      <family val="1"/>
      <charset val="204"/>
    </font>
    <font>
      <i/>
      <sz val="10"/>
      <color indexed="18"/>
      <name val="Times New Roman"/>
      <family val="1"/>
      <charset val="204"/>
    </font>
    <font>
      <i/>
      <sz val="11"/>
      <color indexed="10"/>
      <name val="Times New Roman"/>
      <family val="1"/>
      <charset val="204"/>
    </font>
    <font>
      <i/>
      <sz val="10"/>
      <color indexed="10"/>
      <name val="Times New Roman"/>
      <family val="1"/>
      <charset val="204"/>
    </font>
    <font>
      <sz val="11"/>
      <color indexed="10"/>
      <name val="Times New Roman"/>
      <family val="1"/>
      <charset val="204"/>
    </font>
    <font>
      <b/>
      <i/>
      <sz val="10"/>
      <name val="Times New Roman"/>
      <family val="1"/>
      <charset val="204"/>
    </font>
    <font>
      <sz val="11"/>
      <color indexed="18"/>
      <name val="Times New Roman"/>
      <family val="1"/>
      <charset val="204"/>
    </font>
    <font>
      <i/>
      <sz val="11"/>
      <color indexed="8"/>
      <name val="Times New Roman"/>
      <family val="1"/>
      <charset val="204"/>
    </font>
    <font>
      <b/>
      <i/>
      <u/>
      <sz val="11"/>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s>
  <cellStyleXfs count="90">
    <xf numFmtId="0" fontId="0" fillId="0" borderId="0"/>
    <xf numFmtId="0" fontId="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5"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4" fillId="20" borderId="1" applyNumberFormat="0" applyAlignment="0" applyProtection="0"/>
    <xf numFmtId="0" fontId="5" fillId="21" borderId="2" applyNumberFormat="0" applyAlignment="0" applyProtection="0"/>
    <xf numFmtId="0" fontId="10" fillId="21" borderId="1" applyNumberFormat="0" applyAlignment="0" applyProtection="0"/>
    <xf numFmtId="0" fontId="28" fillId="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2" fillId="0" borderId="0">
      <alignment vertical="top"/>
    </xf>
    <xf numFmtId="0" fontId="27" fillId="0" borderId="3" applyNumberFormat="0" applyFill="0" applyAlignment="0" applyProtection="0"/>
    <xf numFmtId="0" fontId="7" fillId="0" borderId="4" applyNumberFormat="0" applyFill="0" applyAlignment="0" applyProtection="0"/>
    <xf numFmtId="0" fontId="25" fillId="22" borderId="5" applyNumberFormat="0" applyAlignment="0" applyProtection="0"/>
    <xf numFmtId="0" fontId="26" fillId="0" borderId="0" applyNumberFormat="0" applyFill="0" applyBorder="0" applyAlignment="0" applyProtection="0"/>
    <xf numFmtId="0" fontId="11" fillId="20" borderId="0" applyNumberFormat="0" applyBorder="0" applyAlignment="0" applyProtection="0"/>
    <xf numFmtId="0" fontId="15" fillId="0" borderId="0"/>
    <xf numFmtId="0" fontId="2" fillId="0" borderId="0"/>
    <xf numFmtId="0" fontId="14" fillId="0" borderId="0"/>
    <xf numFmtId="0" fontId="16" fillId="0" borderId="0"/>
    <xf numFmtId="0" fontId="4" fillId="3" borderId="0" applyNumberFormat="0" applyBorder="0" applyAlignment="0" applyProtection="0"/>
    <xf numFmtId="0" fontId="6" fillId="0" borderId="0" applyNumberFormat="0" applyFill="0" applyBorder="0" applyAlignment="0" applyProtection="0"/>
    <xf numFmtId="0" fontId="9" fillId="23" borderId="6" applyNumberFormat="0" applyFont="0" applyAlignment="0" applyProtection="0"/>
    <xf numFmtId="0" fontId="1" fillId="23" borderId="6" applyNumberFormat="0" applyFont="0" applyAlignment="0" applyProtection="0"/>
    <xf numFmtId="0" fontId="2" fillId="23" borderId="6" applyNumberFormat="0" applyFont="0" applyAlignment="0" applyProtection="0"/>
    <xf numFmtId="0" fontId="14" fillId="0" borderId="0"/>
    <xf numFmtId="0" fontId="27" fillId="0" borderId="0" applyNumberFormat="0" applyFill="0" applyBorder="0" applyAlignment="0" applyProtection="0"/>
  </cellStyleXfs>
  <cellXfs count="163">
    <xf numFmtId="0" fontId="0" fillId="0" borderId="0" xfId="0"/>
    <xf numFmtId="0" fontId="2" fillId="0" borderId="0" xfId="0" applyNumberFormat="1" applyFont="1" applyFill="1" applyAlignment="1" applyProtection="1"/>
    <xf numFmtId="0" fontId="20" fillId="0" borderId="0" xfId="0" applyNumberFormat="1" applyFont="1" applyFill="1" applyAlignment="1" applyProtection="1">
      <alignment vertical="center" wrapText="1"/>
    </xf>
    <xf numFmtId="0" fontId="2" fillId="0" borderId="0" xfId="0" applyFont="1" applyFill="1"/>
    <xf numFmtId="0" fontId="2"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0" fillId="0" borderId="7" xfId="0" applyFont="1" applyFill="1" applyBorder="1" applyAlignment="1">
      <alignment horizontal="justify" vertical="center" wrapText="1"/>
    </xf>
    <xf numFmtId="0" fontId="2" fillId="0" borderId="0" xfId="0" applyNumberFormat="1" applyFont="1" applyFill="1" applyAlignment="1" applyProtection="1">
      <alignment horizontal="center"/>
    </xf>
    <xf numFmtId="0" fontId="23" fillId="0" borderId="7" xfId="0" applyFont="1" applyFill="1" applyBorder="1" applyAlignment="1">
      <alignment horizontal="justify" vertical="center" wrapText="1"/>
    </xf>
    <xf numFmtId="49" fontId="31" fillId="0" borderId="7" xfId="0" applyNumberFormat="1" applyFont="1" applyFill="1" applyBorder="1" applyAlignment="1">
      <alignment horizontal="center" vertical="center" wrapText="1"/>
    </xf>
    <xf numFmtId="0" fontId="31" fillId="0" borderId="7" xfId="0" applyFont="1" applyFill="1" applyBorder="1" applyAlignment="1">
      <alignment horizontal="justify" vertical="center" wrapText="1"/>
    </xf>
    <xf numFmtId="0" fontId="2" fillId="0" borderId="8" xfId="0" applyFont="1" applyFill="1" applyBorder="1" applyAlignment="1">
      <alignment horizontal="center"/>
    </xf>
    <xf numFmtId="0" fontId="18" fillId="0" borderId="8" xfId="0" applyNumberFormat="1" applyFont="1" applyFill="1" applyBorder="1" applyAlignment="1" applyProtection="1">
      <alignment horizontal="right" vertical="center"/>
    </xf>
    <xf numFmtId="0" fontId="18" fillId="0" borderId="0" xfId="0" applyNumberFormat="1" applyFont="1" applyFill="1" applyAlignment="1" applyProtection="1">
      <alignment horizontal="center" vertical="top"/>
    </xf>
    <xf numFmtId="0" fontId="18" fillId="0" borderId="0" xfId="0" applyNumberFormat="1" applyFont="1" applyFill="1" applyAlignment="1" applyProtection="1">
      <alignment vertical="top"/>
    </xf>
    <xf numFmtId="0" fontId="18" fillId="0" borderId="0" xfId="0" applyFont="1" applyFill="1"/>
    <xf numFmtId="3" fontId="20" fillId="0" borderId="7" xfId="73" applyNumberFormat="1" applyFont="1" applyFill="1" applyBorder="1" applyAlignment="1">
      <alignment vertical="center"/>
    </xf>
    <xf numFmtId="196" fontId="20" fillId="0" borderId="7" xfId="73" applyNumberFormat="1" applyFont="1" applyFill="1" applyBorder="1" applyAlignment="1">
      <alignment vertical="center"/>
    </xf>
    <xf numFmtId="3" fontId="31" fillId="0" borderId="7" xfId="73" applyNumberFormat="1" applyFont="1" applyFill="1" applyBorder="1" applyAlignment="1">
      <alignment vertical="center"/>
    </xf>
    <xf numFmtId="196" fontId="31" fillId="0" borderId="7" xfId="73" applyNumberFormat="1" applyFont="1" applyFill="1" applyBorder="1" applyAlignment="1">
      <alignment vertical="center"/>
    </xf>
    <xf numFmtId="3" fontId="23" fillId="0" borderId="7" xfId="73" applyNumberFormat="1" applyFont="1" applyFill="1" applyBorder="1" applyAlignment="1">
      <alignment vertical="center"/>
    </xf>
    <xf numFmtId="196" fontId="23" fillId="0" borderId="7" xfId="73" applyNumberFormat="1" applyFont="1" applyFill="1" applyBorder="1" applyAlignment="1">
      <alignment vertical="center"/>
    </xf>
    <xf numFmtId="0" fontId="33" fillId="0" borderId="0" xfId="0" applyNumberFormat="1" applyFont="1" applyFill="1" applyAlignment="1" applyProtection="1"/>
    <xf numFmtId="0" fontId="34"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36" fillId="0" borderId="0" xfId="81" applyFont="1" applyFill="1" applyAlignment="1"/>
    <xf numFmtId="4" fontId="31" fillId="0" borderId="7" xfId="73" applyNumberFormat="1" applyFont="1" applyFill="1" applyBorder="1" applyAlignment="1">
      <alignment vertical="center"/>
    </xf>
    <xf numFmtId="4" fontId="20" fillId="0" borderId="7" xfId="73" applyNumberFormat="1" applyFont="1" applyFill="1" applyBorder="1" applyAlignment="1">
      <alignment vertical="center"/>
    </xf>
    <xf numFmtId="4" fontId="23" fillId="0" borderId="7" xfId="73" applyNumberFormat="1" applyFont="1" applyFill="1" applyBorder="1" applyAlignment="1">
      <alignment vertical="center"/>
    </xf>
    <xf numFmtId="49" fontId="19" fillId="0" borderId="7" xfId="0" applyNumberFormat="1" applyFont="1" applyFill="1" applyBorder="1" applyAlignment="1">
      <alignment horizontal="center" vertical="center" wrapText="1"/>
    </xf>
    <xf numFmtId="0" fontId="19" fillId="0" borderId="7" xfId="0" applyFont="1" applyFill="1" applyBorder="1" applyAlignment="1">
      <alignment horizontal="justify" vertical="center" wrapText="1"/>
    </xf>
    <xf numFmtId="0" fontId="2" fillId="0" borderId="10" xfId="0" applyFont="1" applyFill="1" applyBorder="1"/>
    <xf numFmtId="0" fontId="30" fillId="0" borderId="11" xfId="0" applyFont="1" applyFill="1" applyBorder="1"/>
    <xf numFmtId="0" fontId="32" fillId="0" borderId="10" xfId="0" applyFont="1" applyFill="1" applyBorder="1"/>
    <xf numFmtId="49" fontId="31" fillId="0" borderId="7" xfId="0" applyNumberFormat="1" applyFont="1" applyFill="1" applyBorder="1" applyAlignment="1" applyProtection="1">
      <alignment horizontal="center" vertical="justify"/>
    </xf>
    <xf numFmtId="0" fontId="13" fillId="0" borderId="7" xfId="0" applyFont="1" applyFill="1" applyBorder="1"/>
    <xf numFmtId="4" fontId="19" fillId="0" borderId="12" xfId="73" applyNumberFormat="1" applyFont="1" applyFill="1" applyBorder="1" applyAlignment="1">
      <alignment vertical="center"/>
    </xf>
    <xf numFmtId="201" fontId="23" fillId="0" borderId="7" xfId="73" applyNumberFormat="1" applyFont="1" applyFill="1" applyBorder="1" applyAlignment="1">
      <alignment vertical="center"/>
    </xf>
    <xf numFmtId="201" fontId="20" fillId="0" borderId="7" xfId="73" applyNumberFormat="1" applyFont="1" applyFill="1" applyBorder="1" applyAlignment="1">
      <alignment vertical="center"/>
    </xf>
    <xf numFmtId="201" fontId="20" fillId="0" borderId="7" xfId="0" applyNumberFormat="1" applyFont="1" applyFill="1" applyBorder="1" applyAlignment="1">
      <alignment vertical="center"/>
    </xf>
    <xf numFmtId="3" fontId="20" fillId="0" borderId="7" xfId="0" applyNumberFormat="1" applyFont="1" applyFill="1" applyBorder="1" applyAlignment="1">
      <alignment vertical="center"/>
    </xf>
    <xf numFmtId="3" fontId="39" fillId="0" borderId="7" xfId="73" applyNumberFormat="1" applyFont="1" applyFill="1" applyBorder="1" applyAlignment="1">
      <alignment vertical="center"/>
    </xf>
    <xf numFmtId="201" fontId="39" fillId="0" borderId="7" xfId="73" applyNumberFormat="1" applyFont="1" applyFill="1" applyBorder="1" applyAlignment="1">
      <alignment vertical="center"/>
    </xf>
    <xf numFmtId="49" fontId="23" fillId="0" borderId="7" xfId="0" applyNumberFormat="1" applyFont="1" applyFill="1" applyBorder="1" applyAlignment="1">
      <alignment horizontal="center" vertical="center" wrapText="1"/>
    </xf>
    <xf numFmtId="0" fontId="13" fillId="0" borderId="10" xfId="0" applyFont="1" applyFill="1" applyBorder="1"/>
    <xf numFmtId="0" fontId="23" fillId="0" borderId="7" xfId="0" applyFont="1" applyFill="1" applyBorder="1" applyAlignment="1">
      <alignment horizontal="center" vertical="center" wrapText="1"/>
    </xf>
    <xf numFmtId="49" fontId="20" fillId="0" borderId="7" xfId="8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3" fontId="38" fillId="0" borderId="7" xfId="73" applyNumberFormat="1" applyFont="1" applyFill="1" applyBorder="1" applyAlignment="1">
      <alignment vertical="center"/>
    </xf>
    <xf numFmtId="201" fontId="38" fillId="0" borderId="7" xfId="73" applyNumberFormat="1" applyFont="1" applyFill="1" applyBorder="1" applyAlignment="1">
      <alignment vertical="center"/>
    </xf>
    <xf numFmtId="0" fontId="30" fillId="0" borderId="10" xfId="0" applyFont="1" applyFill="1" applyBorder="1"/>
    <xf numFmtId="49" fontId="23" fillId="0" borderId="7" xfId="80" applyNumberFormat="1" applyFont="1" applyFill="1" applyBorder="1" applyAlignment="1">
      <alignment horizontal="center" vertical="center" wrapText="1"/>
    </xf>
    <xf numFmtId="3" fontId="40" fillId="0" borderId="7" xfId="73" applyNumberFormat="1" applyFont="1" applyFill="1" applyBorder="1" applyAlignment="1">
      <alignment vertical="center"/>
    </xf>
    <xf numFmtId="201" fontId="40" fillId="0" borderId="7" xfId="73" applyNumberFormat="1" applyFont="1" applyFill="1" applyBorder="1" applyAlignment="1">
      <alignment vertical="center"/>
    </xf>
    <xf numFmtId="0" fontId="41" fillId="0" borderId="10" xfId="0" applyFont="1" applyFill="1" applyBorder="1"/>
    <xf numFmtId="0" fontId="38" fillId="0" borderId="7" xfId="0" applyFont="1" applyFill="1" applyBorder="1" applyAlignment="1">
      <alignment horizontal="left" vertical="center" wrapText="1"/>
    </xf>
    <xf numFmtId="0" fontId="13" fillId="0" borderId="11" xfId="0" applyFont="1" applyFill="1" applyBorder="1"/>
    <xf numFmtId="0" fontId="2" fillId="0" borderId="13" xfId="0" applyNumberFormat="1" applyFont="1" applyFill="1" applyBorder="1" applyAlignment="1" applyProtection="1">
      <alignment horizontal="center" vertical="center" wrapText="1"/>
    </xf>
    <xf numFmtId="0" fontId="23" fillId="0" borderId="14" xfId="0" applyFont="1" applyFill="1" applyBorder="1" applyAlignment="1">
      <alignment horizontal="justify" vertical="center" wrapText="1"/>
    </xf>
    <xf numFmtId="0" fontId="12" fillId="0" borderId="10" xfId="0" applyFont="1" applyFill="1" applyBorder="1"/>
    <xf numFmtId="219" fontId="23" fillId="0" borderId="7" xfId="73" applyNumberFormat="1" applyFont="1" applyFill="1" applyBorder="1" applyAlignment="1">
      <alignment vertical="center"/>
    </xf>
    <xf numFmtId="220" fontId="23" fillId="0" borderId="7" xfId="73" applyNumberFormat="1" applyFont="1" applyFill="1" applyBorder="1" applyAlignment="1">
      <alignment vertical="center"/>
    </xf>
    <xf numFmtId="0" fontId="20" fillId="0" borderId="7" xfId="0" applyFont="1" applyFill="1" applyBorder="1" applyAlignment="1">
      <alignment horizontal="left" vertical="center" wrapText="1"/>
    </xf>
    <xf numFmtId="219" fontId="20" fillId="0" borderId="7" xfId="73" applyNumberFormat="1" applyFont="1" applyFill="1" applyBorder="1" applyAlignment="1">
      <alignment vertical="center"/>
    </xf>
    <xf numFmtId="220" fontId="20" fillId="0" borderId="7" xfId="73" applyNumberFormat="1" applyFont="1" applyFill="1" applyBorder="1" applyAlignment="1">
      <alignment vertical="center"/>
    </xf>
    <xf numFmtId="49" fontId="23" fillId="0" borderId="15" xfId="0" applyNumberFormat="1" applyFont="1" applyFill="1" applyBorder="1" applyAlignment="1">
      <alignment horizontal="center" vertical="center" wrapText="1"/>
    </xf>
    <xf numFmtId="3" fontId="20" fillId="0" borderId="15" xfId="0" applyNumberFormat="1" applyFont="1" applyFill="1" applyBorder="1" applyAlignment="1">
      <alignment vertical="center"/>
    </xf>
    <xf numFmtId="201" fontId="20" fillId="0" borderId="15" xfId="73" applyNumberFormat="1" applyFont="1" applyFill="1" applyBorder="1" applyAlignment="1">
      <alignment vertical="center"/>
    </xf>
    <xf numFmtId="3" fontId="20" fillId="0" borderId="15" xfId="73" applyNumberFormat="1" applyFont="1" applyFill="1" applyBorder="1" applyAlignment="1">
      <alignment vertical="center"/>
    </xf>
    <xf numFmtId="4" fontId="23" fillId="0" borderId="15" xfId="73" applyNumberFormat="1" applyFont="1" applyFill="1" applyBorder="1" applyAlignment="1">
      <alignment vertical="center"/>
    </xf>
    <xf numFmtId="49" fontId="39" fillId="0" borderId="7" xfId="0" applyNumberFormat="1" applyFont="1" applyFill="1" applyBorder="1" applyAlignment="1">
      <alignment horizontal="center" vertical="center" wrapText="1"/>
    </xf>
    <xf numFmtId="0" fontId="47" fillId="0" borderId="10" xfId="0" applyFont="1" applyFill="1" applyBorder="1"/>
    <xf numFmtId="3" fontId="20" fillId="0" borderId="14" xfId="73" applyNumberFormat="1" applyFont="1" applyFill="1" applyBorder="1" applyAlignment="1">
      <alignment vertical="center"/>
    </xf>
    <xf numFmtId="49" fontId="20" fillId="0" borderId="16" xfId="0" applyNumberFormat="1" applyFont="1" applyFill="1" applyBorder="1" applyAlignment="1">
      <alignment horizontal="center" vertical="center" wrapText="1"/>
    </xf>
    <xf numFmtId="3" fontId="20" fillId="0" borderId="16" xfId="73" applyNumberFormat="1" applyFont="1" applyFill="1" applyBorder="1" applyAlignment="1">
      <alignment vertical="center"/>
    </xf>
    <xf numFmtId="0" fontId="2" fillId="0" borderId="11" xfId="0" applyFont="1" applyFill="1" applyBorder="1"/>
    <xf numFmtId="0" fontId="38" fillId="0" borderId="7" xfId="0" applyFont="1" applyFill="1" applyBorder="1" applyAlignment="1">
      <alignment horizontal="justify" vertical="center" wrapText="1"/>
    </xf>
    <xf numFmtId="219" fontId="20" fillId="0" borderId="14" xfId="0" applyNumberFormat="1" applyFont="1" applyFill="1" applyBorder="1" applyAlignment="1">
      <alignment horizontal="right" vertical="center" wrapText="1"/>
    </xf>
    <xf numFmtId="220" fontId="20" fillId="0" borderId="14" xfId="0" applyNumberFormat="1" applyFont="1" applyFill="1" applyBorder="1" applyAlignment="1">
      <alignment horizontal="right" vertical="center" wrapText="1"/>
    </xf>
    <xf numFmtId="0" fontId="2" fillId="0" borderId="7" xfId="0" applyFont="1" applyFill="1" applyBorder="1"/>
    <xf numFmtId="49" fontId="42" fillId="0" borderId="7" xfId="0" applyNumberFormat="1" applyFont="1" applyFill="1" applyBorder="1" applyAlignment="1">
      <alignment horizontal="center" vertical="center" wrapText="1"/>
    </xf>
    <xf numFmtId="0" fontId="43" fillId="0" borderId="10" xfId="0" applyFont="1" applyFill="1" applyBorder="1"/>
    <xf numFmtId="0" fontId="38" fillId="0" borderId="14" xfId="0" applyFont="1" applyFill="1" applyBorder="1" applyAlignment="1">
      <alignment horizontal="left" vertical="center" wrapText="1"/>
    </xf>
    <xf numFmtId="0" fontId="23" fillId="0" borderId="7" xfId="80" applyFont="1" applyFill="1" applyBorder="1" applyAlignment="1">
      <alignment horizontal="left" vertical="center" wrapText="1"/>
    </xf>
    <xf numFmtId="0" fontId="20" fillId="0" borderId="7" xfId="80" applyFont="1" applyFill="1" applyBorder="1" applyAlignment="1">
      <alignment horizontal="left" vertical="center" wrapText="1"/>
    </xf>
    <xf numFmtId="0" fontId="20" fillId="0" borderId="14" xfId="0" applyFont="1" applyFill="1" applyBorder="1" applyAlignment="1">
      <alignment horizontal="justify" vertical="center" wrapText="1"/>
    </xf>
    <xf numFmtId="3" fontId="20" fillId="0" borderId="14" xfId="0" applyNumberFormat="1" applyFont="1" applyFill="1" applyBorder="1" applyAlignment="1">
      <alignment vertical="center"/>
    </xf>
    <xf numFmtId="219" fontId="39" fillId="0" borderId="7" xfId="73" applyNumberFormat="1" applyFont="1" applyFill="1" applyBorder="1" applyAlignment="1">
      <alignment vertical="center"/>
    </xf>
    <xf numFmtId="220" fontId="39" fillId="0" borderId="7" xfId="73" applyNumberFormat="1" applyFont="1" applyFill="1" applyBorder="1" applyAlignment="1">
      <alignment vertical="center"/>
    </xf>
    <xf numFmtId="3" fontId="19" fillId="0" borderId="7" xfId="73" applyNumberFormat="1" applyFont="1" applyFill="1" applyBorder="1" applyAlignment="1">
      <alignment vertical="center"/>
    </xf>
    <xf numFmtId="219" fontId="19" fillId="0" borderId="7" xfId="73" applyNumberFormat="1" applyFont="1" applyFill="1" applyBorder="1" applyAlignment="1">
      <alignment vertical="center"/>
    </xf>
    <xf numFmtId="220" fontId="19" fillId="0" borderId="7" xfId="73" applyNumberFormat="1" applyFont="1" applyFill="1" applyBorder="1" applyAlignment="1">
      <alignment vertical="center"/>
    </xf>
    <xf numFmtId="0" fontId="38" fillId="0" borderId="7" xfId="80" applyFont="1" applyFill="1" applyBorder="1" applyAlignment="1">
      <alignment horizontal="left" vertical="center" wrapText="1"/>
    </xf>
    <xf numFmtId="0" fontId="31"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7" xfId="0" applyNumberFormat="1" applyFont="1" applyFill="1" applyBorder="1" applyAlignment="1">
      <alignment horizontal="left" vertical="center" wrapText="1"/>
    </xf>
    <xf numFmtId="201" fontId="20" fillId="0" borderId="7"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201" fontId="23" fillId="0" borderId="7" xfId="0" applyNumberFormat="1" applyFont="1" applyFill="1" applyBorder="1" applyAlignment="1">
      <alignment horizontal="right" vertical="center" wrapText="1"/>
    </xf>
    <xf numFmtId="3" fontId="23" fillId="0" borderId="7" xfId="0" applyNumberFormat="1" applyFont="1" applyFill="1" applyBorder="1" applyAlignment="1">
      <alignment horizontal="right" vertical="center" wrapText="1"/>
    </xf>
    <xf numFmtId="219" fontId="20" fillId="0" borderId="14" xfId="73" applyNumberFormat="1" applyFont="1" applyFill="1" applyBorder="1" applyAlignment="1">
      <alignment vertical="center"/>
    </xf>
    <xf numFmtId="220" fontId="20" fillId="0" borderId="14" xfId="73" applyNumberFormat="1" applyFont="1" applyFill="1" applyBorder="1" applyAlignment="1">
      <alignment vertical="center"/>
    </xf>
    <xf numFmtId="0" fontId="46" fillId="0" borderId="7" xfId="0" applyFont="1" applyFill="1" applyBorder="1" applyAlignment="1">
      <alignment horizontal="left" vertical="center" wrapText="1"/>
    </xf>
    <xf numFmtId="219" fontId="20" fillId="0" borderId="7" xfId="0" applyNumberFormat="1" applyFont="1" applyFill="1" applyBorder="1" applyAlignment="1">
      <alignment horizontal="right" vertical="center" wrapText="1"/>
    </xf>
    <xf numFmtId="220" fontId="20" fillId="0" borderId="7" xfId="0" applyNumberFormat="1" applyFont="1" applyFill="1" applyBorder="1" applyAlignment="1">
      <alignment horizontal="right" vertical="center" wrapText="1"/>
    </xf>
    <xf numFmtId="4" fontId="20" fillId="0" borderId="7" xfId="0" applyNumberFormat="1" applyFont="1" applyFill="1" applyBorder="1" applyAlignment="1">
      <alignment horizontal="right" vertical="center" wrapText="1"/>
    </xf>
    <xf numFmtId="0" fontId="44" fillId="0" borderId="7" xfId="0" applyFont="1" applyFill="1" applyBorder="1" applyAlignment="1">
      <alignment horizontal="left" vertical="center" wrapText="1"/>
    </xf>
    <xf numFmtId="219" fontId="23" fillId="0" borderId="7" xfId="0" applyNumberFormat="1" applyFont="1" applyFill="1" applyBorder="1" applyAlignment="1">
      <alignment horizontal="right" vertical="center" wrapText="1"/>
    </xf>
    <xf numFmtId="220" fontId="23" fillId="0" borderId="7" xfId="0" applyNumberFormat="1" applyFont="1" applyFill="1" applyBorder="1" applyAlignment="1">
      <alignment horizontal="right" vertical="center" wrapText="1"/>
    </xf>
    <xf numFmtId="4" fontId="23" fillId="0" borderId="7" xfId="0" applyNumberFormat="1" applyFont="1" applyFill="1" applyBorder="1" applyAlignment="1">
      <alignment horizontal="right" vertical="center" wrapText="1"/>
    </xf>
    <xf numFmtId="4" fontId="20" fillId="0" borderId="14" xfId="0" applyNumberFormat="1" applyFont="1" applyFill="1" applyBorder="1" applyAlignment="1">
      <alignment horizontal="right" vertical="center" wrapText="1"/>
    </xf>
    <xf numFmtId="201" fontId="20" fillId="0" borderId="7" xfId="73" applyNumberFormat="1" applyFont="1" applyFill="1" applyBorder="1" applyAlignment="1">
      <alignment horizontal="right" vertical="center" wrapText="1"/>
    </xf>
    <xf numFmtId="3" fontId="20" fillId="0" borderId="7" xfId="73" applyNumberFormat="1" applyFont="1" applyFill="1" applyBorder="1" applyAlignment="1">
      <alignment horizontal="right" vertical="center" wrapText="1"/>
    </xf>
    <xf numFmtId="0" fontId="23" fillId="0" borderId="15"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23" fillId="0" borderId="16" xfId="0" applyFont="1" applyFill="1" applyBorder="1" applyAlignment="1">
      <alignment horizontal="left" vertical="center" wrapText="1"/>
    </xf>
    <xf numFmtId="219" fontId="46" fillId="0" borderId="14" xfId="0" applyNumberFormat="1" applyFont="1" applyFill="1" applyBorder="1" applyAlignment="1">
      <alignment horizontal="right" vertical="center" wrapText="1"/>
    </xf>
    <xf numFmtId="220" fontId="46" fillId="0" borderId="14" xfId="0" applyNumberFormat="1" applyFont="1" applyFill="1" applyBorder="1" applyAlignment="1">
      <alignment horizontal="right" vertical="center" wrapText="1"/>
    </xf>
    <xf numFmtId="4" fontId="23" fillId="0" borderId="14" xfId="0" applyNumberFormat="1" applyFont="1" applyFill="1" applyBorder="1" applyAlignment="1">
      <alignment horizontal="right" vertical="center" wrapText="1"/>
    </xf>
    <xf numFmtId="0" fontId="20" fillId="0" borderId="16" xfId="0" applyFont="1" applyFill="1" applyBorder="1" applyAlignment="1">
      <alignment horizontal="left" vertical="center" wrapText="1"/>
    </xf>
    <xf numFmtId="3" fontId="50" fillId="0" borderId="7" xfId="73" applyNumberFormat="1" applyFont="1" applyFill="1" applyBorder="1" applyAlignment="1">
      <alignment vertical="center"/>
    </xf>
    <xf numFmtId="196" fontId="50" fillId="0" borderId="7" xfId="73" applyNumberFormat="1" applyFont="1" applyFill="1" applyBorder="1" applyAlignment="1">
      <alignment vertical="center"/>
    </xf>
    <xf numFmtId="0" fontId="49" fillId="0" borderId="7" xfId="0" applyFont="1" applyFill="1" applyBorder="1" applyAlignment="1">
      <alignment horizontal="left" vertical="center" wrapText="1"/>
    </xf>
    <xf numFmtId="0" fontId="23" fillId="0" borderId="10" xfId="0" applyFont="1" applyFill="1" applyBorder="1" applyAlignment="1">
      <alignment horizontal="justify" vertical="center" wrapText="1"/>
    </xf>
    <xf numFmtId="0" fontId="20" fillId="0" borderId="0" xfId="0" applyFont="1" applyFill="1" applyBorder="1" applyAlignment="1">
      <alignment horizontal="justify" vertical="center" wrapText="1"/>
    </xf>
    <xf numFmtId="49" fontId="20" fillId="0" borderId="12"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horizontal="justify" vertical="center" wrapText="1"/>
    </xf>
    <xf numFmtId="3" fontId="19" fillId="0" borderId="12" xfId="73" applyNumberFormat="1" applyFont="1" applyFill="1" applyBorder="1" applyAlignment="1">
      <alignment vertical="center"/>
    </xf>
    <xf numFmtId="196" fontId="19" fillId="0" borderId="12" xfId="73" applyNumberFormat="1" applyFont="1" applyFill="1" applyBorder="1" applyAlignment="1">
      <alignment vertical="center"/>
    </xf>
    <xf numFmtId="49" fontId="31" fillId="0" borderId="17" xfId="0" applyNumberFormat="1" applyFont="1" applyFill="1" applyBorder="1" applyAlignment="1" applyProtection="1">
      <alignment horizontal="center" vertical="justify"/>
    </xf>
    <xf numFmtId="49" fontId="31" fillId="0" borderId="17" xfId="0" applyNumberFormat="1" applyFont="1" applyFill="1" applyBorder="1" applyAlignment="1">
      <alignment horizontal="center" vertical="center" wrapText="1"/>
    </xf>
    <xf numFmtId="0" fontId="31" fillId="0" borderId="17" xfId="0" applyFont="1" applyFill="1" applyBorder="1" applyAlignment="1">
      <alignment horizontal="justify" vertical="center" wrapText="1"/>
    </xf>
    <xf numFmtId="3" fontId="31" fillId="0" borderId="17" xfId="73" applyNumberFormat="1" applyFont="1" applyFill="1" applyBorder="1" applyAlignment="1">
      <alignment vertical="center"/>
    </xf>
    <xf numFmtId="196" fontId="31" fillId="0" borderId="17" xfId="73" applyNumberFormat="1" applyFont="1" applyFill="1" applyBorder="1" applyAlignment="1">
      <alignment vertical="center"/>
    </xf>
    <xf numFmtId="4" fontId="31" fillId="0" borderId="17" xfId="73" applyNumberFormat="1" applyFont="1" applyFill="1" applyBorder="1" applyAlignment="1">
      <alignment vertical="center"/>
    </xf>
    <xf numFmtId="0" fontId="38" fillId="0" borderId="14" xfId="0" applyFont="1" applyFill="1" applyBorder="1" applyAlignment="1">
      <alignment horizontal="justify" vertical="center" wrapText="1"/>
    </xf>
    <xf numFmtId="201" fontId="20" fillId="0" borderId="14" xfId="73" applyNumberFormat="1" applyFont="1" applyFill="1" applyBorder="1" applyAlignment="1">
      <alignment vertical="center"/>
    </xf>
    <xf numFmtId="4" fontId="20" fillId="0" borderId="14" xfId="73" applyNumberFormat="1" applyFont="1" applyFill="1" applyBorder="1" applyAlignment="1">
      <alignment vertical="center"/>
    </xf>
    <xf numFmtId="0" fontId="20" fillId="0" borderId="15" xfId="0" applyFont="1" applyFill="1" applyBorder="1" applyAlignment="1">
      <alignment horizontal="justify" vertical="center" wrapText="1"/>
    </xf>
    <xf numFmtId="4" fontId="20" fillId="0" borderId="15" xfId="73" applyNumberFormat="1" applyFont="1" applyFill="1" applyBorder="1" applyAlignment="1">
      <alignment vertical="center"/>
    </xf>
    <xf numFmtId="4" fontId="20" fillId="0" borderId="7" xfId="0" applyNumberFormat="1" applyFont="1" applyFill="1" applyBorder="1"/>
    <xf numFmtId="4" fontId="23" fillId="0" borderId="7" xfId="0" applyNumberFormat="1" applyFont="1" applyFill="1" applyBorder="1"/>
    <xf numFmtId="49" fontId="44" fillId="0" borderId="7" xfId="0" applyNumberFormat="1" applyFont="1" applyFill="1" applyBorder="1" applyAlignment="1">
      <alignment horizontal="center" vertical="center" wrapText="1"/>
    </xf>
    <xf numFmtId="0" fontId="45" fillId="0" borderId="10" xfId="0" applyFont="1" applyFill="1" applyBorder="1"/>
    <xf numFmtId="3" fontId="48" fillId="0" borderId="7" xfId="73" applyNumberFormat="1" applyFont="1" applyFill="1" applyBorder="1" applyAlignment="1">
      <alignment vertical="center"/>
    </xf>
    <xf numFmtId="219" fontId="48" fillId="0" borderId="7" xfId="0" applyNumberFormat="1" applyFont="1" applyFill="1" applyBorder="1" applyAlignment="1">
      <alignment horizontal="right" vertical="center" wrapText="1"/>
    </xf>
    <xf numFmtId="220" fontId="48" fillId="0" borderId="7" xfId="0" applyNumberFormat="1" applyFont="1" applyFill="1" applyBorder="1" applyAlignment="1">
      <alignment horizontal="right" vertical="center" wrapText="1"/>
    </xf>
    <xf numFmtId="4" fontId="48" fillId="0" borderId="7" xfId="0" applyNumberFormat="1" applyFont="1" applyFill="1" applyBorder="1" applyAlignment="1">
      <alignment horizontal="right" vertical="center" wrapText="1"/>
    </xf>
    <xf numFmtId="219" fontId="46" fillId="0" borderId="7" xfId="0" applyNumberFormat="1" applyFont="1" applyFill="1" applyBorder="1" applyAlignment="1">
      <alignment horizontal="right" vertical="center" wrapText="1"/>
    </xf>
    <xf numFmtId="220" fontId="46" fillId="0" borderId="7" xfId="0" applyNumberFormat="1" applyFont="1" applyFill="1" applyBorder="1" applyAlignment="1">
      <alignment horizontal="right" vertical="center" wrapText="1"/>
    </xf>
    <xf numFmtId="201" fontId="31" fillId="0" borderId="7" xfId="73" applyNumberFormat="1" applyFont="1" applyFill="1" applyBorder="1" applyAlignment="1">
      <alignment vertical="center"/>
    </xf>
    <xf numFmtId="49" fontId="38" fillId="0" borderId="7" xfId="0" applyNumberFormat="1" applyFont="1" applyFill="1" applyBorder="1" applyAlignment="1">
      <alignment horizontal="center" vertical="center" wrapText="1"/>
    </xf>
    <xf numFmtId="49" fontId="38" fillId="0" borderId="7" xfId="0" applyNumberFormat="1" applyFont="1" applyFill="1" applyBorder="1" applyAlignment="1" applyProtection="1">
      <alignment horizontal="center" vertical="justify"/>
    </xf>
    <xf numFmtId="0" fontId="38" fillId="0" borderId="7" xfId="0" applyFont="1" applyFill="1" applyBorder="1" applyAlignment="1">
      <alignment horizontal="center" vertical="center" wrapText="1"/>
    </xf>
    <xf numFmtId="0" fontId="35" fillId="0" borderId="0" xfId="81" applyFont="1" applyFill="1" applyAlignment="1">
      <alignment horizontal="center"/>
    </xf>
    <xf numFmtId="0" fontId="37" fillId="0" borderId="0" xfId="81" applyFont="1" applyFill="1" applyAlignment="1">
      <alignment horizontal="center"/>
    </xf>
    <xf numFmtId="0" fontId="33" fillId="0" borderId="0" xfId="0" applyNumberFormat="1" applyFont="1" applyFill="1" applyAlignment="1" applyProtection="1">
      <alignment horizontal="left" vertical="center" wrapText="1"/>
    </xf>
    <xf numFmtId="0" fontId="2" fillId="0" borderId="18"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vertical="top" wrapText="1"/>
    </xf>
    <xf numFmtId="0" fontId="29" fillId="0" borderId="0" xfId="82" applyNumberFormat="1" applyFont="1" applyFill="1" applyAlignment="1" applyProtection="1">
      <alignment horizontal="left" vertical="center" wrapText="1"/>
    </xf>
    <xf numFmtId="0" fontId="35" fillId="0" borderId="0" xfId="81" applyFont="1" applyFill="1" applyBorder="1" applyAlignment="1">
      <alignment horizontal="left" wrapText="1"/>
    </xf>
  </cellXfs>
  <cellStyles count="90">
    <cellStyle name="20% - Акцент1" xfId="1"/>
    <cellStyle name="20% - Акцент1 2" xfId="2"/>
    <cellStyle name="20% - Акцент1_Додаток 5" xfId="3"/>
    <cellStyle name="20% - Акцент2" xfId="4"/>
    <cellStyle name="20% - Акцент2 2" xfId="5"/>
    <cellStyle name="20% - Акцент2_Додаток 5" xfId="6"/>
    <cellStyle name="20% - Акцент3" xfId="7"/>
    <cellStyle name="20% - Акцент3 2" xfId="8"/>
    <cellStyle name="20% - Акцент3_Додаток 5" xfId="9"/>
    <cellStyle name="20% - Акцент4" xfId="10"/>
    <cellStyle name="20% - Акцент4 2" xfId="11"/>
    <cellStyle name="20% - Акцент4_Додаток 5" xfId="12"/>
    <cellStyle name="20% - Акцент5" xfId="13"/>
    <cellStyle name="20% - Акцент5 2" xfId="14"/>
    <cellStyle name="20% - Акцент5_Додаток 5" xfId="15"/>
    <cellStyle name="20% - Акцент6" xfId="16"/>
    <cellStyle name="20% - Акцент6 2" xfId="17"/>
    <cellStyle name="20% - Акцент6_Додаток 5" xfId="18"/>
    <cellStyle name="40% - Акцент1" xfId="19"/>
    <cellStyle name="40% - Акцент1 2" xfId="20"/>
    <cellStyle name="40% - Акцент1_Додаток 5" xfId="21"/>
    <cellStyle name="40% - Акцент2" xfId="22"/>
    <cellStyle name="40% - Акцент2 2" xfId="23"/>
    <cellStyle name="40% - Акцент2_Додаток 5" xfId="24"/>
    <cellStyle name="40% - Акцент3" xfId="25"/>
    <cellStyle name="40% - Акцент3 2" xfId="26"/>
    <cellStyle name="40% - Акцент3_Додаток 5" xfId="27"/>
    <cellStyle name="40% - Акцент4" xfId="28"/>
    <cellStyle name="40% - Акцент4 2" xfId="29"/>
    <cellStyle name="40% - Акцент4_Додаток 5" xfId="30"/>
    <cellStyle name="40% - Акцент5" xfId="31"/>
    <cellStyle name="40% - Акцент5 2" xfId="32"/>
    <cellStyle name="40% - Акцент5_Додаток 5" xfId="33"/>
    <cellStyle name="40% - Акцент6" xfId="34"/>
    <cellStyle name="40% - Акцент6 2" xfId="35"/>
    <cellStyle name="40% - Акцент6_Додаток 5" xfId="36"/>
    <cellStyle name="60% - Акцент1" xfId="37"/>
    <cellStyle name="60% - Акцент2" xfId="38"/>
    <cellStyle name="60% - Акцент3" xfId="39"/>
    <cellStyle name="60% - Акцент4" xfId="40"/>
    <cellStyle name="60% - Акцент5" xfId="41"/>
    <cellStyle name="60% - Акцент6" xfId="42"/>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3" xfId="66"/>
    <cellStyle name="Звичайний 4" xfId="67"/>
    <cellStyle name="Звичайний 5" xfId="68"/>
    <cellStyle name="Звичайний 6" xfId="69"/>
    <cellStyle name="Звичайний 7" xfId="70"/>
    <cellStyle name="Звичайний 8" xfId="71"/>
    <cellStyle name="Звичайний 9" xfId="72"/>
    <cellStyle name="Звичайний_Додаток _ 3 зм_ни 4575" xfId="73"/>
    <cellStyle name="Зв'язана клітинка" xfId="74"/>
    <cellStyle name="Итог" xfId="75"/>
    <cellStyle name="Контрольна клітинка" xfId="76"/>
    <cellStyle name="Назва" xfId="77"/>
    <cellStyle name="Нейтральный" xfId="78"/>
    <cellStyle name="Обычный" xfId="0" builtinId="0"/>
    <cellStyle name="Обычный 2" xfId="79"/>
    <cellStyle name="Обычный 4" xfId="80"/>
    <cellStyle name="Обычный_Додаток 6 джерела.." xfId="81"/>
    <cellStyle name="Обычный_Додаток7 програми" xfId="82"/>
    <cellStyle name="Плохой" xfId="83"/>
    <cellStyle name="Пояснение" xfId="84"/>
    <cellStyle name="Примечание" xfId="85"/>
    <cellStyle name="Примечание 2" xfId="86"/>
    <cellStyle name="Примечание_Додаток 7 к розпорядж" xfId="87"/>
    <cellStyle name="Стиль 1" xfId="88"/>
    <cellStyle name="Текст попередження"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I1218"/>
  <sheetViews>
    <sheetView showZeros="0" tabSelected="1" view="pageBreakPreview" zoomScale="80" zoomScaleNormal="100" zoomScaleSheetLayoutView="118" workbookViewId="0">
      <pane xSplit="4" ySplit="7" topLeftCell="E41" activePane="bottomRight" state="frozen"/>
      <selection activeCell="B1" sqref="B1"/>
      <selection pane="topRight" activeCell="F1" sqref="F1"/>
      <selection pane="bottomLeft" activeCell="B6" sqref="B6"/>
      <selection pane="bottomRight" activeCell="E46" sqref="E46"/>
    </sheetView>
  </sheetViews>
  <sheetFormatPr defaultColWidth="9.1640625" defaultRowHeight="48.75" customHeight="1" x14ac:dyDescent="0.2"/>
  <cols>
    <col min="1" max="1" width="13" style="7" customWidth="1"/>
    <col min="2" max="2" width="12.33203125" style="7" customWidth="1"/>
    <col min="3" max="3" width="11.83203125" style="1" customWidth="1"/>
    <col min="4" max="4" width="64.33203125" style="1" customWidth="1"/>
    <col min="5" max="5" width="80" style="1" customWidth="1"/>
    <col min="6" max="6" width="17" style="1" customWidth="1"/>
    <col min="7" max="7" width="16.83203125" style="1" customWidth="1"/>
    <col min="8" max="8" width="18.1640625" style="1" customWidth="1"/>
    <col min="9" max="9" width="21.1640625" style="1" customWidth="1"/>
    <col min="10" max="16384" width="9.1640625" style="3"/>
  </cols>
  <sheetData>
    <row r="1" spans="1:9" s="15" customFormat="1" ht="18.75" x14ac:dyDescent="0.25">
      <c r="A1" s="13"/>
      <c r="B1" s="13"/>
      <c r="C1" s="14"/>
      <c r="D1" s="14"/>
      <c r="E1" s="14"/>
      <c r="F1" s="14"/>
      <c r="G1" s="158" t="s">
        <v>245</v>
      </c>
      <c r="H1" s="158"/>
      <c r="I1" s="158"/>
    </row>
    <row r="2" spans="1:9" s="15" customFormat="1" ht="18.75" x14ac:dyDescent="0.25">
      <c r="A2" s="13"/>
      <c r="B2" s="13"/>
      <c r="C2" s="14"/>
      <c r="D2" s="14"/>
      <c r="E2" s="14"/>
      <c r="F2" s="14"/>
      <c r="G2" s="158" t="s">
        <v>209</v>
      </c>
      <c r="H2" s="158"/>
      <c r="I2" s="158"/>
    </row>
    <row r="3" spans="1:9" s="15" customFormat="1" ht="18.75" x14ac:dyDescent="0.25">
      <c r="A3" s="13"/>
      <c r="B3" s="13"/>
      <c r="C3" s="14"/>
      <c r="D3" s="14"/>
      <c r="E3" s="14"/>
      <c r="F3" s="14"/>
      <c r="G3" s="158"/>
      <c r="H3" s="158"/>
      <c r="I3" s="158"/>
    </row>
    <row r="4" spans="1:9" ht="16.5" x14ac:dyDescent="0.2">
      <c r="F4" s="2"/>
      <c r="G4" s="2"/>
      <c r="H4" s="161"/>
      <c r="I4" s="161"/>
    </row>
    <row r="5" spans="1:9" ht="25.5" customHeight="1" x14ac:dyDescent="0.2">
      <c r="A5" s="160" t="s">
        <v>16</v>
      </c>
      <c r="B5" s="160"/>
      <c r="C5" s="160"/>
      <c r="D5" s="160"/>
      <c r="E5" s="160"/>
      <c r="F5" s="160"/>
      <c r="G5" s="160"/>
      <c r="H5" s="160"/>
      <c r="I5" s="160"/>
    </row>
    <row r="6" spans="1:9" ht="22.5" customHeight="1" x14ac:dyDescent="0.2">
      <c r="A6" s="11"/>
      <c r="B6" s="11"/>
      <c r="C6" s="11"/>
      <c r="D6" s="11"/>
      <c r="E6" s="4"/>
      <c r="F6" s="4"/>
      <c r="G6" s="5"/>
      <c r="H6" s="4"/>
      <c r="I6" s="12" t="s">
        <v>354</v>
      </c>
    </row>
    <row r="7" spans="1:9" ht="86.25" customHeight="1" x14ac:dyDescent="0.2">
      <c r="A7" s="23" t="s">
        <v>534</v>
      </c>
      <c r="B7" s="24" t="s">
        <v>352</v>
      </c>
      <c r="C7" s="24" t="s">
        <v>353</v>
      </c>
      <c r="D7" s="58" t="s">
        <v>351</v>
      </c>
      <c r="E7" s="25" t="s">
        <v>283</v>
      </c>
      <c r="F7" s="25" t="s">
        <v>356</v>
      </c>
      <c r="G7" s="25" t="s">
        <v>22</v>
      </c>
      <c r="H7" s="25" t="s">
        <v>533</v>
      </c>
      <c r="I7" s="25" t="s">
        <v>357</v>
      </c>
    </row>
    <row r="8" spans="1:9" s="33" customFormat="1" ht="21.75" customHeight="1" x14ac:dyDescent="0.2">
      <c r="A8" s="131" t="s">
        <v>284</v>
      </c>
      <c r="B8" s="131"/>
      <c r="C8" s="132"/>
      <c r="D8" s="132" t="s">
        <v>287</v>
      </c>
      <c r="E8" s="133"/>
      <c r="F8" s="134"/>
      <c r="G8" s="135"/>
      <c r="H8" s="135"/>
      <c r="I8" s="136">
        <f>I9</f>
        <v>152389194.51999998</v>
      </c>
    </row>
    <row r="9" spans="1:9" s="34" customFormat="1" ht="25.9" customHeight="1" x14ac:dyDescent="0.2">
      <c r="A9" s="9" t="s">
        <v>285</v>
      </c>
      <c r="B9" s="30"/>
      <c r="C9" s="30"/>
      <c r="D9" s="94" t="s">
        <v>287</v>
      </c>
      <c r="E9" s="31"/>
      <c r="F9" s="18"/>
      <c r="G9" s="19"/>
      <c r="H9" s="19"/>
      <c r="I9" s="27">
        <f>I10+I16+I17+I19+I11+I12</f>
        <v>152389194.51999998</v>
      </c>
    </row>
    <row r="10" spans="1:9" s="51" customFormat="1" ht="64.5" customHeight="1" x14ac:dyDescent="0.2">
      <c r="A10" s="48" t="s">
        <v>338</v>
      </c>
      <c r="B10" s="48" t="s">
        <v>339</v>
      </c>
      <c r="C10" s="48" t="s">
        <v>19</v>
      </c>
      <c r="D10" s="63" t="s">
        <v>376</v>
      </c>
      <c r="E10" s="6" t="s">
        <v>292</v>
      </c>
      <c r="F10" s="18"/>
      <c r="G10" s="19"/>
      <c r="H10" s="19"/>
      <c r="I10" s="28">
        <v>600000</v>
      </c>
    </row>
    <row r="11" spans="1:9" s="51" customFormat="1" ht="15" x14ac:dyDescent="0.2">
      <c r="A11" s="48" t="s">
        <v>204</v>
      </c>
      <c r="B11" s="48" t="s">
        <v>205</v>
      </c>
      <c r="C11" s="48" t="s">
        <v>288</v>
      </c>
      <c r="D11" s="63" t="s">
        <v>206</v>
      </c>
      <c r="E11" s="6" t="s">
        <v>292</v>
      </c>
      <c r="F11" s="18"/>
      <c r="G11" s="19"/>
      <c r="H11" s="19"/>
      <c r="I11" s="28">
        <v>100000</v>
      </c>
    </row>
    <row r="12" spans="1:9" s="51" customFormat="1" ht="15" x14ac:dyDescent="0.2">
      <c r="A12" s="48" t="s">
        <v>193</v>
      </c>
      <c r="B12" s="48" t="s">
        <v>380</v>
      </c>
      <c r="C12" s="48" t="s">
        <v>358</v>
      </c>
      <c r="D12" s="63" t="s">
        <v>191</v>
      </c>
      <c r="E12" s="6" t="s">
        <v>292</v>
      </c>
      <c r="F12" s="18"/>
      <c r="G12" s="19"/>
      <c r="H12" s="19"/>
      <c r="I12" s="28">
        <f>I13</f>
        <v>1503800</v>
      </c>
    </row>
    <row r="13" spans="1:9" s="55" customFormat="1" ht="45" x14ac:dyDescent="0.2">
      <c r="A13" s="44" t="s">
        <v>194</v>
      </c>
      <c r="B13" s="44" t="s">
        <v>117</v>
      </c>
      <c r="C13" s="44" t="s">
        <v>358</v>
      </c>
      <c r="D13" s="95" t="s">
        <v>192</v>
      </c>
      <c r="E13" s="6" t="s">
        <v>292</v>
      </c>
      <c r="F13" s="121"/>
      <c r="G13" s="122"/>
      <c r="H13" s="122"/>
      <c r="I13" s="29">
        <f>1460000+43800</f>
        <v>1503800</v>
      </c>
    </row>
    <row r="14" spans="1:9" s="55" customFormat="1" ht="15" x14ac:dyDescent="0.2">
      <c r="A14" s="44"/>
      <c r="B14" s="44"/>
      <c r="C14" s="44"/>
      <c r="D14" s="95" t="s">
        <v>128</v>
      </c>
      <c r="E14" s="124"/>
      <c r="F14" s="121"/>
      <c r="G14" s="122"/>
      <c r="H14" s="122"/>
      <c r="I14" s="29"/>
    </row>
    <row r="15" spans="1:9" s="45" customFormat="1" ht="15" x14ac:dyDescent="0.2">
      <c r="A15" s="44"/>
      <c r="B15" s="44"/>
      <c r="C15" s="44"/>
      <c r="D15" s="95" t="s">
        <v>17</v>
      </c>
      <c r="F15" s="16"/>
      <c r="G15" s="39"/>
      <c r="H15" s="16"/>
      <c r="I15" s="29">
        <v>1460000</v>
      </c>
    </row>
    <row r="16" spans="1:9" s="32" customFormat="1" ht="15" x14ac:dyDescent="0.2">
      <c r="A16" s="48" t="s">
        <v>499</v>
      </c>
      <c r="B16" s="48" t="s">
        <v>500</v>
      </c>
      <c r="C16" s="48" t="s">
        <v>358</v>
      </c>
      <c r="D16" s="63" t="s">
        <v>428</v>
      </c>
      <c r="E16" s="6" t="s">
        <v>292</v>
      </c>
      <c r="F16" s="16"/>
      <c r="G16" s="17"/>
      <c r="H16" s="17"/>
      <c r="I16" s="28">
        <f>93030000+2150000+2200000+280000+800000+8000000-43800+450000-7500000-499800+7500000+18048994.52</f>
        <v>124415394.52</v>
      </c>
    </row>
    <row r="17" spans="1:9" s="32" customFormat="1" ht="15" x14ac:dyDescent="0.2">
      <c r="A17" s="48" t="s">
        <v>341</v>
      </c>
      <c r="B17" s="48" t="s">
        <v>342</v>
      </c>
      <c r="C17" s="48"/>
      <c r="D17" s="63" t="s">
        <v>343</v>
      </c>
      <c r="E17" s="6" t="s">
        <v>292</v>
      </c>
      <c r="F17" s="16"/>
      <c r="G17" s="17"/>
      <c r="H17" s="17"/>
      <c r="I17" s="28">
        <f>I18</f>
        <v>4000000</v>
      </c>
    </row>
    <row r="18" spans="1:9" s="45" customFormat="1" ht="15" x14ac:dyDescent="0.2">
      <c r="A18" s="44" t="s">
        <v>438</v>
      </c>
      <c r="B18" s="44" t="s">
        <v>439</v>
      </c>
      <c r="C18" s="46" t="s">
        <v>358</v>
      </c>
      <c r="D18" s="8" t="s">
        <v>332</v>
      </c>
      <c r="E18" s="8" t="s">
        <v>292</v>
      </c>
      <c r="F18" s="20"/>
      <c r="G18" s="21"/>
      <c r="H18" s="21"/>
      <c r="I18" s="29">
        <f>3000000+1000000</f>
        <v>4000000</v>
      </c>
    </row>
    <row r="19" spans="1:9" s="32" customFormat="1" ht="15" x14ac:dyDescent="0.2">
      <c r="A19" s="48" t="s">
        <v>344</v>
      </c>
      <c r="B19" s="48" t="s">
        <v>345</v>
      </c>
      <c r="C19" s="48" t="s">
        <v>291</v>
      </c>
      <c r="D19" s="63" t="s">
        <v>346</v>
      </c>
      <c r="E19" s="6"/>
      <c r="F19" s="16"/>
      <c r="G19" s="17"/>
      <c r="H19" s="17"/>
      <c r="I19" s="28">
        <f>I21+I22</f>
        <v>21770000</v>
      </c>
    </row>
    <row r="20" spans="1:9" s="32" customFormat="1" ht="15" x14ac:dyDescent="0.2">
      <c r="A20" s="48"/>
      <c r="B20" s="48"/>
      <c r="C20" s="48"/>
      <c r="D20" s="63" t="s">
        <v>128</v>
      </c>
      <c r="E20" s="6"/>
      <c r="F20" s="16"/>
      <c r="G20" s="17"/>
      <c r="H20" s="17"/>
      <c r="I20" s="28"/>
    </row>
    <row r="21" spans="1:9" s="45" customFormat="1" ht="120" customHeight="1" x14ac:dyDescent="0.2">
      <c r="A21" s="44"/>
      <c r="B21" s="44"/>
      <c r="C21" s="44"/>
      <c r="D21" s="95" t="s">
        <v>0</v>
      </c>
      <c r="E21" s="8" t="s">
        <v>292</v>
      </c>
      <c r="F21" s="36"/>
      <c r="G21" s="20"/>
      <c r="H21" s="21"/>
      <c r="I21" s="29">
        <f>7000000-2000000</f>
        <v>5000000</v>
      </c>
    </row>
    <row r="22" spans="1:9" s="45" customFormat="1" ht="48.75" customHeight="1" x14ac:dyDescent="0.2">
      <c r="A22" s="44"/>
      <c r="B22" s="44"/>
      <c r="C22" s="44"/>
      <c r="D22" s="96" t="s">
        <v>259</v>
      </c>
      <c r="E22" s="8" t="s">
        <v>292</v>
      </c>
      <c r="F22" s="36"/>
      <c r="G22" s="20"/>
      <c r="H22" s="21"/>
      <c r="I22" s="29">
        <f>13770000+3000000</f>
        <v>16770000</v>
      </c>
    </row>
    <row r="23" spans="1:9" s="51" customFormat="1" ht="22.5" customHeight="1" x14ac:dyDescent="0.2">
      <c r="A23" s="9" t="s">
        <v>306</v>
      </c>
      <c r="B23" s="9"/>
      <c r="C23" s="9"/>
      <c r="D23" s="94" t="s">
        <v>305</v>
      </c>
      <c r="E23" s="10"/>
      <c r="F23" s="18"/>
      <c r="G23" s="19"/>
      <c r="H23" s="19"/>
      <c r="I23" s="27">
        <f>I24</f>
        <v>40000</v>
      </c>
    </row>
    <row r="24" spans="1:9" s="51" customFormat="1" ht="18.75" customHeight="1" x14ac:dyDescent="0.2">
      <c r="A24" s="9" t="s">
        <v>307</v>
      </c>
      <c r="B24" s="9"/>
      <c r="C24" s="9"/>
      <c r="D24" s="94" t="s">
        <v>305</v>
      </c>
      <c r="E24" s="10"/>
      <c r="F24" s="18"/>
      <c r="G24" s="19"/>
      <c r="H24" s="19"/>
      <c r="I24" s="27">
        <f>I25</f>
        <v>40000</v>
      </c>
    </row>
    <row r="25" spans="1:9" s="32" customFormat="1" ht="15" x14ac:dyDescent="0.2">
      <c r="A25" s="48" t="s">
        <v>308</v>
      </c>
      <c r="B25" s="48" t="s">
        <v>37</v>
      </c>
      <c r="C25" s="48"/>
      <c r="D25" s="63" t="s">
        <v>79</v>
      </c>
      <c r="E25" s="6"/>
      <c r="F25" s="16"/>
      <c r="G25" s="17"/>
      <c r="H25" s="17"/>
      <c r="I25" s="28">
        <f>I26</f>
        <v>40000</v>
      </c>
    </row>
    <row r="26" spans="1:9" s="45" customFormat="1" ht="30" x14ac:dyDescent="0.2">
      <c r="A26" s="44" t="s">
        <v>309</v>
      </c>
      <c r="B26" s="44" t="s">
        <v>38</v>
      </c>
      <c r="C26" s="46">
        <v>1090</v>
      </c>
      <c r="D26" s="8" t="s">
        <v>39</v>
      </c>
      <c r="E26" s="8"/>
      <c r="F26" s="20"/>
      <c r="G26" s="21"/>
      <c r="H26" s="21"/>
      <c r="I26" s="29">
        <v>40000</v>
      </c>
    </row>
    <row r="27" spans="1:9" s="51" customFormat="1" ht="28.5" x14ac:dyDescent="0.2">
      <c r="A27" s="9" t="s">
        <v>347</v>
      </c>
      <c r="B27" s="9"/>
      <c r="C27" s="9"/>
      <c r="D27" s="94" t="s">
        <v>427</v>
      </c>
      <c r="E27" s="10"/>
      <c r="F27" s="18"/>
      <c r="G27" s="19"/>
      <c r="H27" s="19"/>
      <c r="I27" s="27">
        <f>I28</f>
        <v>160502928.16000003</v>
      </c>
    </row>
    <row r="28" spans="1:9" s="51" customFormat="1" ht="28.5" x14ac:dyDescent="0.2">
      <c r="A28" s="9" t="s">
        <v>348</v>
      </c>
      <c r="B28" s="9"/>
      <c r="C28" s="9"/>
      <c r="D28" s="94" t="s">
        <v>427</v>
      </c>
      <c r="E28" s="10"/>
      <c r="F28" s="18"/>
      <c r="G28" s="19"/>
      <c r="H28" s="19"/>
      <c r="I28" s="27">
        <f>I42+I49+I35+I32+I36+I40+I41+I44+I29+I37+I50</f>
        <v>160502928.16000003</v>
      </c>
    </row>
    <row r="29" spans="1:9" s="51" customFormat="1" ht="45" x14ac:dyDescent="0.2">
      <c r="A29" s="48" t="s">
        <v>421</v>
      </c>
      <c r="B29" s="48" t="s">
        <v>131</v>
      </c>
      <c r="C29" s="48" t="s">
        <v>329</v>
      </c>
      <c r="D29" s="63" t="s">
        <v>257</v>
      </c>
      <c r="E29" s="6" t="s">
        <v>292</v>
      </c>
      <c r="F29" s="18"/>
      <c r="G29" s="19"/>
      <c r="H29" s="19"/>
      <c r="I29" s="28">
        <f>167950+5632247+22426</f>
        <v>5822623</v>
      </c>
    </row>
    <row r="30" spans="1:9" s="45" customFormat="1" ht="15" x14ac:dyDescent="0.2">
      <c r="A30" s="44"/>
      <c r="B30" s="44"/>
      <c r="C30" s="44"/>
      <c r="D30" s="95" t="s">
        <v>128</v>
      </c>
      <c r="E30" s="8"/>
      <c r="F30" s="20"/>
      <c r="G30" s="21"/>
      <c r="H30" s="20"/>
      <c r="I30" s="29"/>
    </row>
    <row r="31" spans="1:9" s="45" customFormat="1" ht="15" x14ac:dyDescent="0.2">
      <c r="A31" s="44"/>
      <c r="B31" s="44"/>
      <c r="C31" s="44"/>
      <c r="D31" s="95" t="s">
        <v>17</v>
      </c>
      <c r="E31" s="8"/>
      <c r="F31" s="20"/>
      <c r="G31" s="21"/>
      <c r="H31" s="20"/>
      <c r="I31" s="29">
        <v>460075</v>
      </c>
    </row>
    <row r="32" spans="1:9" s="51" customFormat="1" ht="60" x14ac:dyDescent="0.2">
      <c r="A32" s="48" t="s">
        <v>180</v>
      </c>
      <c r="B32" s="48" t="s">
        <v>181</v>
      </c>
      <c r="C32" s="48" t="s">
        <v>329</v>
      </c>
      <c r="D32" s="63" t="s">
        <v>370</v>
      </c>
      <c r="E32" s="6" t="s">
        <v>292</v>
      </c>
      <c r="F32" s="18"/>
      <c r="G32" s="19"/>
      <c r="H32" s="19"/>
      <c r="I32" s="28">
        <f>7000000+621415+10885862+2068250+1154155+287352+27000-17176+8300000</f>
        <v>30326858</v>
      </c>
    </row>
    <row r="33" spans="1:9" s="45" customFormat="1" ht="15" x14ac:dyDescent="0.2">
      <c r="A33" s="44"/>
      <c r="B33" s="44"/>
      <c r="C33" s="44"/>
      <c r="D33" s="95" t="s">
        <v>128</v>
      </c>
      <c r="E33" s="8"/>
      <c r="F33" s="20"/>
      <c r="G33" s="21"/>
      <c r="H33" s="20"/>
      <c r="I33" s="29"/>
    </row>
    <row r="34" spans="1:9" s="45" customFormat="1" ht="15" x14ac:dyDescent="0.2">
      <c r="A34" s="44"/>
      <c r="B34" s="44"/>
      <c r="C34" s="44"/>
      <c r="D34" s="95" t="s">
        <v>17</v>
      </c>
      <c r="E34" s="8"/>
      <c r="F34" s="20"/>
      <c r="G34" s="21"/>
      <c r="H34" s="20"/>
      <c r="I34" s="29">
        <v>1333270</v>
      </c>
    </row>
    <row r="35" spans="1:9" s="32" customFormat="1" ht="90" x14ac:dyDescent="0.2">
      <c r="A35" s="48" t="s">
        <v>233</v>
      </c>
      <c r="B35" s="48" t="s">
        <v>328</v>
      </c>
      <c r="C35" s="48" t="s">
        <v>329</v>
      </c>
      <c r="D35" s="63" t="s">
        <v>95</v>
      </c>
      <c r="E35" s="6" t="s">
        <v>292</v>
      </c>
      <c r="F35" s="16"/>
      <c r="G35" s="17"/>
      <c r="H35" s="17"/>
      <c r="I35" s="28">
        <f>4018500+4400000+458256</f>
        <v>8876756</v>
      </c>
    </row>
    <row r="36" spans="1:9" s="32" customFormat="1" ht="30" x14ac:dyDescent="0.2">
      <c r="A36" s="48" t="s">
        <v>182</v>
      </c>
      <c r="B36" s="48" t="s">
        <v>516</v>
      </c>
      <c r="C36" s="48" t="s">
        <v>329</v>
      </c>
      <c r="D36" s="63" t="s">
        <v>183</v>
      </c>
      <c r="E36" s="6" t="s">
        <v>292</v>
      </c>
      <c r="F36" s="16"/>
      <c r="G36" s="17"/>
      <c r="H36" s="17"/>
      <c r="I36" s="28">
        <f>622000+1148376-138710+565000</f>
        <v>2196666</v>
      </c>
    </row>
    <row r="37" spans="1:9" s="32" customFormat="1" ht="30" x14ac:dyDescent="0.2">
      <c r="A37" s="48" t="s">
        <v>464</v>
      </c>
      <c r="B37" s="48" t="s">
        <v>465</v>
      </c>
      <c r="C37" s="48" t="s">
        <v>466</v>
      </c>
      <c r="D37" s="63" t="s">
        <v>467</v>
      </c>
      <c r="E37" s="6" t="s">
        <v>292</v>
      </c>
      <c r="F37" s="16"/>
      <c r="G37" s="17"/>
      <c r="H37" s="17"/>
      <c r="I37" s="28">
        <f>2930000-440000</f>
        <v>2490000</v>
      </c>
    </row>
    <row r="38" spans="1:9" s="45" customFormat="1" ht="15" x14ac:dyDescent="0.2">
      <c r="A38" s="44"/>
      <c r="B38" s="44"/>
      <c r="C38" s="44"/>
      <c r="D38" s="95" t="s">
        <v>128</v>
      </c>
      <c r="E38" s="8"/>
      <c r="F38" s="20"/>
      <c r="G38" s="21"/>
      <c r="H38" s="20"/>
      <c r="I38" s="29"/>
    </row>
    <row r="39" spans="1:9" s="45" customFormat="1" ht="15" x14ac:dyDescent="0.2">
      <c r="A39" s="44"/>
      <c r="B39" s="44"/>
      <c r="C39" s="44"/>
      <c r="D39" s="95" t="s">
        <v>17</v>
      </c>
      <c r="E39" s="8"/>
      <c r="F39" s="20"/>
      <c r="G39" s="21"/>
      <c r="H39" s="20"/>
      <c r="I39" s="29">
        <f>2930000-440000</f>
        <v>2490000</v>
      </c>
    </row>
    <row r="40" spans="1:9" s="32" customFormat="1" ht="30" x14ac:dyDescent="0.2">
      <c r="A40" s="48" t="s">
        <v>184</v>
      </c>
      <c r="B40" s="48" t="s">
        <v>97</v>
      </c>
      <c r="C40" s="48" t="s">
        <v>51</v>
      </c>
      <c r="D40" s="63" t="s">
        <v>693</v>
      </c>
      <c r="E40" s="6" t="s">
        <v>292</v>
      </c>
      <c r="F40" s="16"/>
      <c r="G40" s="17"/>
      <c r="H40" s="17"/>
      <c r="I40" s="28">
        <f>6500000+2600000+300000+500000+3386600</f>
        <v>13286600</v>
      </c>
    </row>
    <row r="41" spans="1:9" s="32" customFormat="1" ht="30" x14ac:dyDescent="0.2">
      <c r="A41" s="48" t="s">
        <v>185</v>
      </c>
      <c r="B41" s="48" t="s">
        <v>186</v>
      </c>
      <c r="C41" s="48" t="s">
        <v>187</v>
      </c>
      <c r="D41" s="63" t="s">
        <v>188</v>
      </c>
      <c r="E41" s="6" t="s">
        <v>292</v>
      </c>
      <c r="F41" s="16"/>
      <c r="G41" s="17"/>
      <c r="H41" s="17"/>
      <c r="I41" s="28">
        <v>3824500</v>
      </c>
    </row>
    <row r="42" spans="1:9" s="32" customFormat="1" ht="21" customHeight="1" x14ac:dyDescent="0.2">
      <c r="A42" s="48" t="s">
        <v>349</v>
      </c>
      <c r="B42" s="48" t="s">
        <v>495</v>
      </c>
      <c r="C42" s="48"/>
      <c r="D42" s="63" t="s">
        <v>340</v>
      </c>
      <c r="E42" s="6"/>
      <c r="F42" s="16"/>
      <c r="G42" s="17"/>
      <c r="H42" s="17"/>
      <c r="I42" s="28">
        <f>I43</f>
        <v>29027680.920000002</v>
      </c>
    </row>
    <row r="43" spans="1:9" s="45" customFormat="1" ht="21" customHeight="1" x14ac:dyDescent="0.2">
      <c r="A43" s="44" t="s">
        <v>449</v>
      </c>
      <c r="B43" s="44" t="s">
        <v>450</v>
      </c>
      <c r="C43" s="44" t="s">
        <v>288</v>
      </c>
      <c r="D43" s="95" t="s">
        <v>451</v>
      </c>
      <c r="E43" s="8" t="s">
        <v>292</v>
      </c>
      <c r="F43" s="20"/>
      <c r="G43" s="21"/>
      <c r="H43" s="21"/>
      <c r="I43" s="29">
        <f>20240031.92+2000000+198000+6589649</f>
        <v>29027680.920000002</v>
      </c>
    </row>
    <row r="44" spans="1:9" s="45" customFormat="1" ht="21" customHeight="1" x14ac:dyDescent="0.2">
      <c r="A44" s="48" t="s">
        <v>429</v>
      </c>
      <c r="B44" s="48" t="s">
        <v>387</v>
      </c>
      <c r="C44" s="44"/>
      <c r="D44" s="6" t="s">
        <v>333</v>
      </c>
      <c r="E44" s="8"/>
      <c r="F44" s="20"/>
      <c r="G44" s="21"/>
      <c r="H44" s="21"/>
      <c r="I44" s="28">
        <f>I45</f>
        <v>2030694</v>
      </c>
    </row>
    <row r="45" spans="1:9" s="45" customFormat="1" ht="21" customHeight="1" x14ac:dyDescent="0.2">
      <c r="A45" s="44" t="s">
        <v>189</v>
      </c>
      <c r="B45" s="44" t="s">
        <v>530</v>
      </c>
      <c r="C45" s="44" t="s">
        <v>44</v>
      </c>
      <c r="D45" s="95" t="s">
        <v>201</v>
      </c>
      <c r="E45" s="8"/>
      <c r="F45" s="20"/>
      <c r="G45" s="21"/>
      <c r="H45" s="21"/>
      <c r="I45" s="29">
        <f>I46+I47+I48</f>
        <v>2030694</v>
      </c>
    </row>
    <row r="46" spans="1:9" s="45" customFormat="1" ht="60" x14ac:dyDescent="0.2">
      <c r="A46" s="44"/>
      <c r="B46" s="44"/>
      <c r="C46" s="44"/>
      <c r="D46" s="95"/>
      <c r="E46" s="6" t="s">
        <v>809</v>
      </c>
      <c r="F46" s="16"/>
      <c r="G46" s="17"/>
      <c r="H46" s="17"/>
      <c r="I46" s="28">
        <v>350000</v>
      </c>
    </row>
    <row r="47" spans="1:9" s="45" customFormat="1" ht="45" x14ac:dyDescent="0.2">
      <c r="A47" s="48"/>
      <c r="B47" s="48"/>
      <c r="C47" s="48"/>
      <c r="D47" s="63"/>
      <c r="E47" s="6" t="s">
        <v>650</v>
      </c>
      <c r="F47" s="16"/>
      <c r="G47" s="17"/>
      <c r="H47" s="17"/>
      <c r="I47" s="28">
        <v>1500000</v>
      </c>
    </row>
    <row r="48" spans="1:9" s="45" customFormat="1" ht="60" x14ac:dyDescent="0.2">
      <c r="A48" s="48"/>
      <c r="B48" s="48"/>
      <c r="C48" s="48"/>
      <c r="D48" s="63"/>
      <c r="E48" s="6" t="s">
        <v>651</v>
      </c>
      <c r="F48" s="16"/>
      <c r="G48" s="17"/>
      <c r="H48" s="17"/>
      <c r="I48" s="28">
        <f>3717294-3536600</f>
        <v>180694</v>
      </c>
    </row>
    <row r="49" spans="1:9" s="32" customFormat="1" ht="45" x14ac:dyDescent="0.2">
      <c r="A49" s="48" t="s">
        <v>452</v>
      </c>
      <c r="B49" s="48" t="s">
        <v>453</v>
      </c>
      <c r="C49" s="48" t="s">
        <v>291</v>
      </c>
      <c r="D49" s="63" t="s">
        <v>232</v>
      </c>
      <c r="E49" s="6" t="s">
        <v>292</v>
      </c>
      <c r="F49" s="16"/>
      <c r="G49" s="17"/>
      <c r="H49" s="17"/>
      <c r="I49" s="28">
        <v>54439785.75</v>
      </c>
    </row>
    <row r="50" spans="1:9" s="32" customFormat="1" ht="15" x14ac:dyDescent="0.2">
      <c r="A50" s="48" t="s">
        <v>411</v>
      </c>
      <c r="B50" s="48" t="s">
        <v>345</v>
      </c>
      <c r="C50" s="48" t="s">
        <v>291</v>
      </c>
      <c r="D50" s="63" t="s">
        <v>346</v>
      </c>
      <c r="E50" s="6"/>
      <c r="F50" s="16"/>
      <c r="G50" s="17"/>
      <c r="H50" s="17"/>
      <c r="I50" s="28">
        <f>I52</f>
        <v>8180764.4900000002</v>
      </c>
    </row>
    <row r="51" spans="1:9" s="32" customFormat="1" ht="15" x14ac:dyDescent="0.2">
      <c r="A51" s="48"/>
      <c r="B51" s="48"/>
      <c r="C51" s="48"/>
      <c r="D51" s="63" t="s">
        <v>128</v>
      </c>
      <c r="E51" s="6"/>
      <c r="F51" s="16"/>
      <c r="G51" s="17"/>
      <c r="H51" s="17"/>
      <c r="I51" s="28"/>
    </row>
    <row r="52" spans="1:9" s="32" customFormat="1" ht="30" x14ac:dyDescent="0.2">
      <c r="A52" s="48"/>
      <c r="B52" s="48"/>
      <c r="C52" s="48"/>
      <c r="D52" s="8" t="s">
        <v>220</v>
      </c>
      <c r="E52" s="6"/>
      <c r="F52" s="16"/>
      <c r="G52" s="17"/>
      <c r="H52" s="17"/>
      <c r="I52" s="29">
        <f>9151624-570859.51-400000</f>
        <v>8180764.4900000002</v>
      </c>
    </row>
    <row r="53" spans="1:9" s="51" customFormat="1" ht="29.25" customHeight="1" x14ac:dyDescent="0.2">
      <c r="A53" s="9" t="s">
        <v>350</v>
      </c>
      <c r="B53" s="9"/>
      <c r="C53" s="9"/>
      <c r="D53" s="94" t="s">
        <v>414</v>
      </c>
      <c r="E53" s="10"/>
      <c r="F53" s="18"/>
      <c r="G53" s="19"/>
      <c r="H53" s="19"/>
      <c r="I53" s="27">
        <f>I54</f>
        <v>556770262.45000005</v>
      </c>
    </row>
    <row r="54" spans="1:9" s="51" customFormat="1" ht="28.5" x14ac:dyDescent="0.2">
      <c r="A54" s="9" t="s">
        <v>169</v>
      </c>
      <c r="B54" s="9"/>
      <c r="C54" s="9"/>
      <c r="D54" s="94" t="s">
        <v>414</v>
      </c>
      <c r="E54" s="10"/>
      <c r="F54" s="18"/>
      <c r="G54" s="19"/>
      <c r="H54" s="19"/>
      <c r="I54" s="27">
        <f>I56+I58+I61+I89+I68+I69+I55+I57+I60+I85+I59</f>
        <v>556770262.45000005</v>
      </c>
    </row>
    <row r="55" spans="1:9" s="32" customFormat="1" ht="24" customHeight="1" x14ac:dyDescent="0.2">
      <c r="A55" s="48" t="s">
        <v>430</v>
      </c>
      <c r="B55" s="48" t="s">
        <v>53</v>
      </c>
      <c r="C55" s="48" t="s">
        <v>54</v>
      </c>
      <c r="D55" s="63" t="s">
        <v>55</v>
      </c>
      <c r="E55" s="6" t="s">
        <v>292</v>
      </c>
      <c r="F55" s="16"/>
      <c r="G55" s="17"/>
      <c r="H55" s="16"/>
      <c r="I55" s="28">
        <f>900000+5000000+150000+588642+500000+52000+64564</f>
        <v>7255206</v>
      </c>
    </row>
    <row r="56" spans="1:9" s="32" customFormat="1" ht="24" customHeight="1" x14ac:dyDescent="0.2">
      <c r="A56" s="48" t="s">
        <v>234</v>
      </c>
      <c r="B56" s="48" t="s">
        <v>57</v>
      </c>
      <c r="C56" s="48" t="s">
        <v>58</v>
      </c>
      <c r="D56" s="63" t="s">
        <v>235</v>
      </c>
      <c r="E56" s="6" t="s">
        <v>292</v>
      </c>
      <c r="F56" s="16"/>
      <c r="G56" s="17"/>
      <c r="H56" s="16"/>
      <c r="I56" s="28">
        <f>2000000+12416132+548600+6827536-1500306+408500</f>
        <v>20700462</v>
      </c>
    </row>
    <row r="57" spans="1:9" s="32" customFormat="1" ht="30" x14ac:dyDescent="0.2">
      <c r="A57" s="48" t="s">
        <v>74</v>
      </c>
      <c r="B57" s="48" t="s">
        <v>75</v>
      </c>
      <c r="C57" s="48" t="s">
        <v>76</v>
      </c>
      <c r="D57" s="63" t="s">
        <v>73</v>
      </c>
      <c r="E57" s="6" t="s">
        <v>292</v>
      </c>
      <c r="F57" s="16"/>
      <c r="G57" s="17"/>
      <c r="H57" s="16"/>
      <c r="I57" s="28">
        <f>75000+84288+65000</f>
        <v>224288</v>
      </c>
    </row>
    <row r="58" spans="1:9" s="32" customFormat="1" ht="24" customHeight="1" x14ac:dyDescent="0.2">
      <c r="A58" s="48" t="s">
        <v>236</v>
      </c>
      <c r="B58" s="48" t="s">
        <v>237</v>
      </c>
      <c r="C58" s="48" t="s">
        <v>238</v>
      </c>
      <c r="D58" s="63" t="s">
        <v>239</v>
      </c>
      <c r="E58" s="6" t="s">
        <v>292</v>
      </c>
      <c r="F58" s="16"/>
      <c r="G58" s="17"/>
      <c r="H58" s="16"/>
      <c r="I58" s="28">
        <f>1824500+35000+700000</f>
        <v>2559500</v>
      </c>
    </row>
    <row r="59" spans="1:9" s="32" customFormat="1" ht="30" x14ac:dyDescent="0.2">
      <c r="A59" s="48" t="s">
        <v>475</v>
      </c>
      <c r="B59" s="48" t="s">
        <v>476</v>
      </c>
      <c r="C59" s="48" t="s">
        <v>477</v>
      </c>
      <c r="D59" s="63" t="s">
        <v>478</v>
      </c>
      <c r="E59" s="6" t="s">
        <v>292</v>
      </c>
      <c r="F59" s="16"/>
      <c r="G59" s="17"/>
      <c r="H59" s="16"/>
      <c r="I59" s="28">
        <f>56000+100000</f>
        <v>156000</v>
      </c>
    </row>
    <row r="60" spans="1:9" s="32" customFormat="1" ht="32.25" customHeight="1" x14ac:dyDescent="0.2">
      <c r="A60" s="48" t="s">
        <v>468</v>
      </c>
      <c r="B60" s="48" t="s">
        <v>469</v>
      </c>
      <c r="C60" s="48" t="s">
        <v>470</v>
      </c>
      <c r="D60" s="63" t="s">
        <v>680</v>
      </c>
      <c r="E60" s="6" t="s">
        <v>292</v>
      </c>
      <c r="F60" s="16"/>
      <c r="G60" s="17"/>
      <c r="H60" s="16"/>
      <c r="I60" s="28">
        <v>100000</v>
      </c>
    </row>
    <row r="61" spans="1:9" s="32" customFormat="1" ht="21" customHeight="1" x14ac:dyDescent="0.2">
      <c r="A61" s="48" t="s">
        <v>170</v>
      </c>
      <c r="B61" s="48" t="s">
        <v>171</v>
      </c>
      <c r="C61" s="48"/>
      <c r="D61" s="63" t="s">
        <v>168</v>
      </c>
      <c r="E61" s="6"/>
      <c r="F61" s="16"/>
      <c r="G61" s="17"/>
      <c r="H61" s="16"/>
      <c r="I61" s="28">
        <f>I65+I64</f>
        <v>485874974.44999999</v>
      </c>
    </row>
    <row r="62" spans="1:9" s="45" customFormat="1" ht="15" x14ac:dyDescent="0.2">
      <c r="A62" s="44"/>
      <c r="B62" s="44"/>
      <c r="C62" s="44"/>
      <c r="D62" s="95" t="s">
        <v>128</v>
      </c>
      <c r="E62" s="8"/>
      <c r="F62" s="20"/>
      <c r="G62" s="21"/>
      <c r="H62" s="20"/>
      <c r="I62" s="29"/>
    </row>
    <row r="63" spans="1:9" s="45" customFormat="1" ht="15" x14ac:dyDescent="0.2">
      <c r="A63" s="44"/>
      <c r="B63" s="44"/>
      <c r="C63" s="44"/>
      <c r="D63" s="95" t="s">
        <v>17</v>
      </c>
      <c r="E63" s="8"/>
      <c r="F63" s="20"/>
      <c r="G63" s="21"/>
      <c r="H63" s="20"/>
      <c r="I63" s="29">
        <f>I67</f>
        <v>231123700</v>
      </c>
    </row>
    <row r="64" spans="1:9" s="45" customFormat="1" ht="30" x14ac:dyDescent="0.2">
      <c r="A64" s="44" t="s">
        <v>177</v>
      </c>
      <c r="B64" s="44" t="s">
        <v>178</v>
      </c>
      <c r="C64" s="44" t="s">
        <v>290</v>
      </c>
      <c r="D64" s="95" t="s">
        <v>681</v>
      </c>
      <c r="E64" s="8" t="s">
        <v>292</v>
      </c>
      <c r="F64" s="20"/>
      <c r="G64" s="21"/>
      <c r="H64" s="20"/>
      <c r="I64" s="29">
        <v>180500</v>
      </c>
    </row>
    <row r="65" spans="1:9" s="45" customFormat="1" ht="19.5" customHeight="1" x14ac:dyDescent="0.2">
      <c r="A65" s="44" t="s">
        <v>165</v>
      </c>
      <c r="B65" s="44" t="s">
        <v>166</v>
      </c>
      <c r="C65" s="44" t="s">
        <v>290</v>
      </c>
      <c r="D65" s="95" t="s">
        <v>167</v>
      </c>
      <c r="E65" s="8" t="s">
        <v>292</v>
      </c>
      <c r="F65" s="20"/>
      <c r="G65" s="21"/>
      <c r="H65" s="20"/>
      <c r="I65" s="29">
        <f>423381797.45-5100000-15500000+10000000-5153230+40068300+37997607</f>
        <v>485694474.44999999</v>
      </c>
    </row>
    <row r="66" spans="1:9" s="45" customFormat="1" ht="15" x14ac:dyDescent="0.2">
      <c r="A66" s="44"/>
      <c r="B66" s="44"/>
      <c r="C66" s="44"/>
      <c r="D66" s="95" t="s">
        <v>128</v>
      </c>
      <c r="E66" s="8"/>
      <c r="F66" s="20"/>
      <c r="G66" s="21"/>
      <c r="H66" s="20"/>
      <c r="I66" s="29"/>
    </row>
    <row r="67" spans="1:9" s="45" customFormat="1" ht="15" x14ac:dyDescent="0.2">
      <c r="A67" s="44"/>
      <c r="B67" s="44"/>
      <c r="C67" s="44"/>
      <c r="D67" s="95" t="s">
        <v>17</v>
      </c>
      <c r="E67" s="8"/>
      <c r="F67" s="20"/>
      <c r="G67" s="21"/>
      <c r="H67" s="20"/>
      <c r="I67" s="29">
        <f>190722600+40401100</f>
        <v>231123700</v>
      </c>
    </row>
    <row r="68" spans="1:9" s="32" customFormat="1" ht="15" x14ac:dyDescent="0.2">
      <c r="A68" s="48" t="s">
        <v>489</v>
      </c>
      <c r="B68" s="48" t="s">
        <v>264</v>
      </c>
      <c r="C68" s="48" t="s">
        <v>457</v>
      </c>
      <c r="D68" s="63" t="s">
        <v>265</v>
      </c>
      <c r="E68" s="6" t="s">
        <v>292</v>
      </c>
      <c r="F68" s="16"/>
      <c r="G68" s="17"/>
      <c r="H68" s="16"/>
      <c r="I68" s="28">
        <v>163000</v>
      </c>
    </row>
    <row r="69" spans="1:9" s="32" customFormat="1" ht="18" customHeight="1" x14ac:dyDescent="0.2">
      <c r="A69" s="48" t="s">
        <v>461</v>
      </c>
      <c r="B69" s="48" t="s">
        <v>387</v>
      </c>
      <c r="C69" s="48"/>
      <c r="D69" s="6" t="s">
        <v>333</v>
      </c>
      <c r="E69" s="6"/>
      <c r="F69" s="16"/>
      <c r="G69" s="17"/>
      <c r="H69" s="16"/>
      <c r="I69" s="28">
        <f>I70</f>
        <v>9794032</v>
      </c>
    </row>
    <row r="70" spans="1:9" s="45" customFormat="1" ht="18.75" customHeight="1" x14ac:dyDescent="0.2">
      <c r="A70" s="44" t="s">
        <v>462</v>
      </c>
      <c r="B70" s="44" t="s">
        <v>442</v>
      </c>
      <c r="C70" s="44" t="s">
        <v>44</v>
      </c>
      <c r="D70" s="8" t="s">
        <v>463</v>
      </c>
      <c r="E70" s="8"/>
      <c r="F70" s="20"/>
      <c r="G70" s="21"/>
      <c r="H70" s="20"/>
      <c r="I70" s="29">
        <f>SUM(I71:I84)</f>
        <v>9794032</v>
      </c>
    </row>
    <row r="71" spans="1:9" s="45" customFormat="1" ht="45" x14ac:dyDescent="0.2">
      <c r="A71" s="44"/>
      <c r="B71" s="44"/>
      <c r="C71" s="44"/>
      <c r="D71" s="8"/>
      <c r="E71" s="6" t="s">
        <v>694</v>
      </c>
      <c r="F71" s="17">
        <v>2000000</v>
      </c>
      <c r="G71" s="17">
        <v>100</v>
      </c>
      <c r="H71" s="16"/>
      <c r="I71" s="28">
        <v>2000000</v>
      </c>
    </row>
    <row r="72" spans="1:9" s="45" customFormat="1" ht="30" x14ac:dyDescent="0.2">
      <c r="A72" s="44"/>
      <c r="B72" s="44"/>
      <c r="C72" s="44"/>
      <c r="D72" s="8"/>
      <c r="E72" s="6" t="s">
        <v>652</v>
      </c>
      <c r="F72" s="16">
        <v>421589</v>
      </c>
      <c r="G72" s="17">
        <v>100</v>
      </c>
      <c r="H72" s="16"/>
      <c r="I72" s="28">
        <v>130000</v>
      </c>
    </row>
    <row r="73" spans="1:9" s="45" customFormat="1" ht="75" x14ac:dyDescent="0.2">
      <c r="A73" s="44"/>
      <c r="B73" s="44"/>
      <c r="C73" s="44"/>
      <c r="D73" s="8"/>
      <c r="E73" s="6" t="s">
        <v>653</v>
      </c>
      <c r="F73" s="16">
        <v>3765786</v>
      </c>
      <c r="G73" s="17">
        <v>100</v>
      </c>
      <c r="H73" s="16"/>
      <c r="I73" s="28">
        <f>2870308+868498</f>
        <v>3738806</v>
      </c>
    </row>
    <row r="74" spans="1:9" s="45" customFormat="1" ht="45" x14ac:dyDescent="0.2">
      <c r="A74" s="44"/>
      <c r="B74" s="44"/>
      <c r="C74" s="44"/>
      <c r="D74" s="8"/>
      <c r="E74" s="6" t="s">
        <v>654</v>
      </c>
      <c r="F74" s="16">
        <v>30000</v>
      </c>
      <c r="G74" s="17">
        <v>100</v>
      </c>
      <c r="H74" s="16"/>
      <c r="I74" s="28">
        <f>180000-150000</f>
        <v>30000</v>
      </c>
    </row>
    <row r="75" spans="1:9" s="45" customFormat="1" ht="60" x14ac:dyDescent="0.2">
      <c r="A75" s="44"/>
      <c r="B75" s="44"/>
      <c r="C75" s="44"/>
      <c r="D75" s="8"/>
      <c r="E75" s="6" t="s">
        <v>655</v>
      </c>
      <c r="F75" s="16">
        <v>176702</v>
      </c>
      <c r="G75" s="17">
        <v>100</v>
      </c>
      <c r="H75" s="16"/>
      <c r="I75" s="28">
        <f>65000+90000</f>
        <v>155000</v>
      </c>
    </row>
    <row r="76" spans="1:9" s="45" customFormat="1" ht="60" x14ac:dyDescent="0.2">
      <c r="A76" s="44"/>
      <c r="B76" s="44"/>
      <c r="C76" s="44"/>
      <c r="D76" s="8"/>
      <c r="E76" s="6" t="s">
        <v>695</v>
      </c>
      <c r="F76" s="16">
        <v>12000</v>
      </c>
      <c r="G76" s="17">
        <v>100</v>
      </c>
      <c r="H76" s="16"/>
      <c r="I76" s="28">
        <v>12000</v>
      </c>
    </row>
    <row r="77" spans="1:9" s="45" customFormat="1" ht="60" x14ac:dyDescent="0.2">
      <c r="A77" s="44"/>
      <c r="B77" s="44"/>
      <c r="C77" s="44"/>
      <c r="D77" s="8"/>
      <c r="E77" s="6" t="s">
        <v>696</v>
      </c>
      <c r="F77" s="16">
        <v>30708</v>
      </c>
      <c r="G77" s="17">
        <v>100</v>
      </c>
      <c r="H77" s="16"/>
      <c r="I77" s="28">
        <f>12127+10814</f>
        <v>22941</v>
      </c>
    </row>
    <row r="78" spans="1:9" s="45" customFormat="1" ht="45" x14ac:dyDescent="0.2">
      <c r="A78" s="44"/>
      <c r="B78" s="44"/>
      <c r="C78" s="44"/>
      <c r="D78" s="8"/>
      <c r="E78" s="6" t="s">
        <v>537</v>
      </c>
      <c r="F78" s="16">
        <v>800000</v>
      </c>
      <c r="G78" s="17">
        <v>100</v>
      </c>
      <c r="H78" s="16"/>
      <c r="I78" s="28">
        <f>800000-757258</f>
        <v>42742</v>
      </c>
    </row>
    <row r="79" spans="1:9" s="45" customFormat="1" ht="60" x14ac:dyDescent="0.2">
      <c r="A79" s="44"/>
      <c r="B79" s="44"/>
      <c r="C79" s="44"/>
      <c r="D79" s="8"/>
      <c r="E79" s="6" t="s">
        <v>538</v>
      </c>
      <c r="F79" s="16">
        <v>2600000</v>
      </c>
      <c r="G79" s="17">
        <v>100</v>
      </c>
      <c r="H79" s="16"/>
      <c r="I79" s="28">
        <v>2600000</v>
      </c>
    </row>
    <row r="80" spans="1:9" s="45" customFormat="1" ht="45" x14ac:dyDescent="0.2">
      <c r="A80" s="44"/>
      <c r="B80" s="44"/>
      <c r="C80" s="44"/>
      <c r="D80" s="8"/>
      <c r="E80" s="6" t="s">
        <v>682</v>
      </c>
      <c r="F80" s="16">
        <v>167191</v>
      </c>
      <c r="G80" s="17">
        <v>100</v>
      </c>
      <c r="H80" s="16"/>
      <c r="I80" s="28">
        <v>167191</v>
      </c>
    </row>
    <row r="81" spans="1:9" s="45" customFormat="1" ht="30" x14ac:dyDescent="0.2">
      <c r="A81" s="44"/>
      <c r="B81" s="44"/>
      <c r="C81" s="44"/>
      <c r="D81" s="8"/>
      <c r="E81" s="6" t="s">
        <v>656</v>
      </c>
      <c r="F81" s="16">
        <v>108100</v>
      </c>
      <c r="G81" s="17">
        <v>100</v>
      </c>
      <c r="H81" s="16"/>
      <c r="I81" s="28">
        <f>100000+8100</f>
        <v>108100</v>
      </c>
    </row>
    <row r="82" spans="1:9" s="45" customFormat="1" ht="68.25" customHeight="1" x14ac:dyDescent="0.2">
      <c r="A82" s="44"/>
      <c r="B82" s="44"/>
      <c r="C82" s="44"/>
      <c r="D82" s="8" t="s">
        <v>479</v>
      </c>
      <c r="E82" s="6" t="s">
        <v>657</v>
      </c>
      <c r="F82" s="16">
        <v>14994</v>
      </c>
      <c r="G82" s="17">
        <v>100</v>
      </c>
      <c r="H82" s="16"/>
      <c r="I82" s="16">
        <v>14994</v>
      </c>
    </row>
    <row r="83" spans="1:9" s="45" customFormat="1" ht="51.75" customHeight="1" x14ac:dyDescent="0.2">
      <c r="A83" s="44"/>
      <c r="B83" s="44"/>
      <c r="C83" s="44"/>
      <c r="D83" s="8"/>
      <c r="E83" s="6" t="s">
        <v>697</v>
      </c>
      <c r="F83" s="16">
        <v>15000</v>
      </c>
      <c r="G83" s="17">
        <v>100</v>
      </c>
      <c r="H83" s="16"/>
      <c r="I83" s="16">
        <v>15000</v>
      </c>
    </row>
    <row r="84" spans="1:9" s="45" customFormat="1" ht="57" customHeight="1" x14ac:dyDescent="0.2">
      <c r="A84" s="44"/>
      <c r="B84" s="44"/>
      <c r="C84" s="44"/>
      <c r="D84" s="8"/>
      <c r="E84" s="6" t="s">
        <v>539</v>
      </c>
      <c r="F84" s="17">
        <v>757257</v>
      </c>
      <c r="G84" s="17">
        <v>100</v>
      </c>
      <c r="H84" s="16"/>
      <c r="I84" s="16">
        <v>757258</v>
      </c>
    </row>
    <row r="85" spans="1:9" s="51" customFormat="1" ht="15" x14ac:dyDescent="0.2">
      <c r="A85" s="48" t="s">
        <v>195</v>
      </c>
      <c r="B85" s="48" t="s">
        <v>380</v>
      </c>
      <c r="C85" s="48" t="s">
        <v>358</v>
      </c>
      <c r="D85" s="63" t="s">
        <v>191</v>
      </c>
      <c r="E85" s="6" t="s">
        <v>292</v>
      </c>
      <c r="F85" s="18"/>
      <c r="G85" s="19"/>
      <c r="H85" s="19"/>
      <c r="I85" s="28">
        <f>I86</f>
        <v>2842800</v>
      </c>
    </row>
    <row r="86" spans="1:9" s="55" customFormat="1" ht="45" x14ac:dyDescent="0.2">
      <c r="A86" s="44" t="s">
        <v>196</v>
      </c>
      <c r="B86" s="44" t="s">
        <v>117</v>
      </c>
      <c r="C86" s="44" t="s">
        <v>358</v>
      </c>
      <c r="D86" s="95" t="s">
        <v>192</v>
      </c>
      <c r="E86" s="6" t="s">
        <v>292</v>
      </c>
      <c r="F86" s="121"/>
      <c r="G86" s="122"/>
      <c r="H86" s="122"/>
      <c r="I86" s="29">
        <f>2760000+82800</f>
        <v>2842800</v>
      </c>
    </row>
    <row r="87" spans="1:9" s="55" customFormat="1" ht="15" x14ac:dyDescent="0.2">
      <c r="A87" s="44"/>
      <c r="B87" s="44"/>
      <c r="C87" s="44"/>
      <c r="D87" s="95" t="s">
        <v>128</v>
      </c>
      <c r="E87" s="124"/>
      <c r="F87" s="121"/>
      <c r="G87" s="122"/>
      <c r="H87" s="122"/>
      <c r="I87" s="29"/>
    </row>
    <row r="88" spans="1:9" s="45" customFormat="1" ht="15" x14ac:dyDescent="0.2">
      <c r="A88" s="44"/>
      <c r="B88" s="44"/>
      <c r="C88" s="44"/>
      <c r="D88" s="95" t="s">
        <v>17</v>
      </c>
      <c r="F88" s="16"/>
      <c r="G88" s="39"/>
      <c r="H88" s="16"/>
      <c r="I88" s="29">
        <v>2760000</v>
      </c>
    </row>
    <row r="89" spans="1:9" s="32" customFormat="1" ht="16.5" customHeight="1" x14ac:dyDescent="0.2">
      <c r="A89" s="48" t="s">
        <v>148</v>
      </c>
      <c r="B89" s="48" t="s">
        <v>345</v>
      </c>
      <c r="C89" s="48" t="s">
        <v>291</v>
      </c>
      <c r="D89" s="63" t="s">
        <v>346</v>
      </c>
      <c r="E89" s="6"/>
      <c r="F89" s="16"/>
      <c r="G89" s="17"/>
      <c r="H89" s="16"/>
      <c r="I89" s="28">
        <f>I91</f>
        <v>27100000</v>
      </c>
    </row>
    <row r="90" spans="1:9" s="32" customFormat="1" ht="16.5" customHeight="1" x14ac:dyDescent="0.2">
      <c r="A90" s="48"/>
      <c r="B90" s="48"/>
      <c r="C90" s="48"/>
      <c r="D90" s="63" t="s">
        <v>128</v>
      </c>
      <c r="E90" s="6"/>
      <c r="F90" s="16"/>
      <c r="G90" s="17"/>
      <c r="H90" s="16"/>
      <c r="I90" s="28"/>
    </row>
    <row r="91" spans="1:9" s="45" customFormat="1" ht="45" x14ac:dyDescent="0.2">
      <c r="A91" s="44"/>
      <c r="B91" s="44"/>
      <c r="C91" s="44"/>
      <c r="D91" s="8" t="s">
        <v>683</v>
      </c>
      <c r="E91" s="8"/>
      <c r="F91" s="20"/>
      <c r="G91" s="21"/>
      <c r="H91" s="20"/>
      <c r="I91" s="29">
        <f>18000000+500000+8600000</f>
        <v>27100000</v>
      </c>
    </row>
    <row r="92" spans="1:9" s="51" customFormat="1" ht="28.5" x14ac:dyDescent="0.2">
      <c r="A92" s="9" t="s">
        <v>172</v>
      </c>
      <c r="B92" s="9"/>
      <c r="C92" s="9"/>
      <c r="D92" s="94" t="s">
        <v>496</v>
      </c>
      <c r="E92" s="10"/>
      <c r="F92" s="18"/>
      <c r="G92" s="19"/>
      <c r="H92" s="18"/>
      <c r="I92" s="27">
        <f>I93</f>
        <v>15434379</v>
      </c>
    </row>
    <row r="93" spans="1:9" s="51" customFormat="1" ht="28.5" x14ac:dyDescent="0.2">
      <c r="A93" s="9" t="s">
        <v>173</v>
      </c>
      <c r="B93" s="9"/>
      <c r="C93" s="9"/>
      <c r="D93" s="94" t="s">
        <v>496</v>
      </c>
      <c r="E93" s="10"/>
      <c r="F93" s="18"/>
      <c r="G93" s="19"/>
      <c r="H93" s="18"/>
      <c r="I93" s="27">
        <f>I94+I98+I101+I99</f>
        <v>15434379</v>
      </c>
    </row>
    <row r="94" spans="1:9" s="32" customFormat="1" ht="45" x14ac:dyDescent="0.2">
      <c r="A94" s="48" t="s">
        <v>28</v>
      </c>
      <c r="B94" s="48" t="s">
        <v>536</v>
      </c>
      <c r="C94" s="48"/>
      <c r="D94" s="63" t="s">
        <v>49</v>
      </c>
      <c r="E94" s="6"/>
      <c r="F94" s="16"/>
      <c r="G94" s="17"/>
      <c r="H94" s="16"/>
      <c r="I94" s="28">
        <f>I95+I96+I97</f>
        <v>8856847</v>
      </c>
    </row>
    <row r="95" spans="1:9" s="45" customFormat="1" ht="45" x14ac:dyDescent="0.2">
      <c r="A95" s="44" t="s">
        <v>535</v>
      </c>
      <c r="B95" s="44" t="s">
        <v>31</v>
      </c>
      <c r="C95" s="44" t="s">
        <v>321</v>
      </c>
      <c r="D95" s="95" t="s">
        <v>50</v>
      </c>
      <c r="E95" s="8" t="s">
        <v>292</v>
      </c>
      <c r="F95" s="20"/>
      <c r="G95" s="21"/>
      <c r="H95" s="20"/>
      <c r="I95" s="29">
        <f>2259940+632647+1176000</f>
        <v>4068587</v>
      </c>
    </row>
    <row r="96" spans="1:9" s="45" customFormat="1" ht="85.5" customHeight="1" x14ac:dyDescent="0.2">
      <c r="A96" s="44" t="s">
        <v>29</v>
      </c>
      <c r="B96" s="44" t="s">
        <v>32</v>
      </c>
      <c r="C96" s="44" t="s">
        <v>325</v>
      </c>
      <c r="D96" s="95" t="s">
        <v>26</v>
      </c>
      <c r="E96" s="8" t="s">
        <v>292</v>
      </c>
      <c r="F96" s="20"/>
      <c r="G96" s="21"/>
      <c r="H96" s="20"/>
      <c r="I96" s="29">
        <f>2819810+341000</f>
        <v>3160810</v>
      </c>
    </row>
    <row r="97" spans="1:9" s="45" customFormat="1" ht="30" x14ac:dyDescent="0.2">
      <c r="A97" s="44" t="s">
        <v>30</v>
      </c>
      <c r="B97" s="44" t="s">
        <v>33</v>
      </c>
      <c r="C97" s="44" t="s">
        <v>321</v>
      </c>
      <c r="D97" s="95" t="s">
        <v>27</v>
      </c>
      <c r="E97" s="8" t="s">
        <v>292</v>
      </c>
      <c r="F97" s="20"/>
      <c r="G97" s="21"/>
      <c r="H97" s="20"/>
      <c r="I97" s="29">
        <f>1642450-15000</f>
        <v>1627450</v>
      </c>
    </row>
    <row r="98" spans="1:9" s="32" customFormat="1" ht="30" x14ac:dyDescent="0.2">
      <c r="A98" s="48" t="s">
        <v>34</v>
      </c>
      <c r="B98" s="48" t="s">
        <v>35</v>
      </c>
      <c r="C98" s="44" t="s">
        <v>516</v>
      </c>
      <c r="D98" s="6" t="s">
        <v>36</v>
      </c>
      <c r="E98" s="16"/>
      <c r="F98" s="17"/>
      <c r="G98" s="16"/>
      <c r="H98" s="28"/>
      <c r="I98" s="28">
        <f>178000-31021</f>
        <v>146979</v>
      </c>
    </row>
    <row r="99" spans="1:9" s="32" customFormat="1" ht="15" x14ac:dyDescent="0.2">
      <c r="A99" s="48" t="s">
        <v>485</v>
      </c>
      <c r="B99" s="48" t="s">
        <v>37</v>
      </c>
      <c r="C99" s="48" t="s">
        <v>516</v>
      </c>
      <c r="D99" s="6" t="s">
        <v>79</v>
      </c>
      <c r="E99" s="16"/>
      <c r="F99" s="17"/>
      <c r="G99" s="16"/>
      <c r="H99" s="28"/>
      <c r="I99" s="28">
        <f>I100</f>
        <v>15000</v>
      </c>
    </row>
    <row r="100" spans="1:9" s="45" customFormat="1" ht="30" x14ac:dyDescent="0.2">
      <c r="A100" s="44" t="s">
        <v>418</v>
      </c>
      <c r="B100" s="44" t="s">
        <v>38</v>
      </c>
      <c r="C100" s="44" t="s">
        <v>516</v>
      </c>
      <c r="D100" s="8" t="s">
        <v>39</v>
      </c>
      <c r="E100" s="20"/>
      <c r="F100" s="21"/>
      <c r="G100" s="20"/>
      <c r="H100" s="29"/>
      <c r="I100" s="29">
        <v>15000</v>
      </c>
    </row>
    <row r="101" spans="1:9" s="32" customFormat="1" ht="15" x14ac:dyDescent="0.25">
      <c r="A101" s="48" t="s">
        <v>40</v>
      </c>
      <c r="B101" s="48" t="s">
        <v>387</v>
      </c>
      <c r="C101" s="44"/>
      <c r="D101" s="6" t="s">
        <v>333</v>
      </c>
      <c r="E101" s="16"/>
      <c r="F101" s="17"/>
      <c r="G101" s="16"/>
      <c r="H101" s="28"/>
      <c r="I101" s="142">
        <f>I102</f>
        <v>6415553</v>
      </c>
    </row>
    <row r="102" spans="1:9" s="45" customFormat="1" ht="19.5" customHeight="1" x14ac:dyDescent="0.25">
      <c r="A102" s="44" t="s">
        <v>41</v>
      </c>
      <c r="B102" s="44" t="s">
        <v>445</v>
      </c>
      <c r="C102" s="44" t="s">
        <v>44</v>
      </c>
      <c r="D102" s="8" t="s">
        <v>133</v>
      </c>
      <c r="E102" s="20"/>
      <c r="F102" s="21"/>
      <c r="G102" s="20"/>
      <c r="H102" s="28"/>
      <c r="I102" s="143">
        <f>I103+I104+I105+I106</f>
        <v>6415553</v>
      </c>
    </row>
    <row r="103" spans="1:9" s="45" customFormat="1" ht="60" x14ac:dyDescent="0.2">
      <c r="A103" s="44"/>
      <c r="B103" s="44"/>
      <c r="C103" s="44"/>
      <c r="D103" s="95"/>
      <c r="E103" s="6" t="s">
        <v>698</v>
      </c>
      <c r="F103" s="20"/>
      <c r="G103" s="21"/>
      <c r="H103" s="20"/>
      <c r="I103" s="28">
        <f>250000-171000</f>
        <v>79000</v>
      </c>
    </row>
    <row r="104" spans="1:9" s="45" customFormat="1" ht="60" x14ac:dyDescent="0.2">
      <c r="A104" s="44"/>
      <c r="B104" s="44"/>
      <c r="C104" s="44"/>
      <c r="D104" s="95"/>
      <c r="E104" s="6" t="s">
        <v>658</v>
      </c>
      <c r="F104" s="20"/>
      <c r="G104" s="21"/>
      <c r="H104" s="20"/>
      <c r="I104" s="28">
        <f>5677000-1176000</f>
        <v>4501000</v>
      </c>
    </row>
    <row r="105" spans="1:9" s="45" customFormat="1" ht="45" x14ac:dyDescent="0.2">
      <c r="A105" s="44"/>
      <c r="B105" s="44"/>
      <c r="C105" s="44"/>
      <c r="D105" s="95"/>
      <c r="E105" s="6" t="s">
        <v>699</v>
      </c>
      <c r="F105" s="20"/>
      <c r="G105" s="21"/>
      <c r="H105" s="20"/>
      <c r="I105" s="28">
        <f>638200-632647</f>
        <v>5553</v>
      </c>
    </row>
    <row r="106" spans="1:9" s="45" customFormat="1" ht="45" x14ac:dyDescent="0.2">
      <c r="A106" s="44"/>
      <c r="B106" s="44"/>
      <c r="C106" s="44"/>
      <c r="D106" s="95"/>
      <c r="E106" s="6" t="s">
        <v>700</v>
      </c>
      <c r="F106" s="20"/>
      <c r="G106" s="21"/>
      <c r="H106" s="20"/>
      <c r="I106" s="28">
        <v>1830000</v>
      </c>
    </row>
    <row r="107" spans="1:9" s="51" customFormat="1" ht="28.5" x14ac:dyDescent="0.2">
      <c r="A107" s="9" t="s">
        <v>20</v>
      </c>
      <c r="B107" s="9"/>
      <c r="C107" s="9"/>
      <c r="D107" s="94" t="s">
        <v>355</v>
      </c>
      <c r="E107" s="10"/>
      <c r="F107" s="18"/>
      <c r="G107" s="19"/>
      <c r="H107" s="18"/>
      <c r="I107" s="27">
        <f>I108</f>
        <v>22452311</v>
      </c>
    </row>
    <row r="108" spans="1:9" s="51" customFormat="1" ht="28.5" x14ac:dyDescent="0.2">
      <c r="A108" s="9" t="s">
        <v>21</v>
      </c>
      <c r="B108" s="9"/>
      <c r="C108" s="9"/>
      <c r="D108" s="94" t="s">
        <v>355</v>
      </c>
      <c r="E108" s="10"/>
      <c r="F108" s="18"/>
      <c r="G108" s="19"/>
      <c r="H108" s="18"/>
      <c r="I108" s="27">
        <f>I109+I110+I113+I114+I115+I111+I112</f>
        <v>22452311</v>
      </c>
    </row>
    <row r="109" spans="1:9" s="32" customFormat="1" ht="30" x14ac:dyDescent="0.2">
      <c r="A109" s="48" t="s">
        <v>240</v>
      </c>
      <c r="B109" s="48" t="s">
        <v>97</v>
      </c>
      <c r="C109" s="48" t="s">
        <v>51</v>
      </c>
      <c r="D109" s="63" t="s">
        <v>693</v>
      </c>
      <c r="E109" s="6" t="s">
        <v>292</v>
      </c>
      <c r="F109" s="16"/>
      <c r="G109" s="17"/>
      <c r="H109" s="16"/>
      <c r="I109" s="28">
        <f>1700000+300000</f>
        <v>2000000</v>
      </c>
    </row>
    <row r="110" spans="1:9" s="32" customFormat="1" ht="45" x14ac:dyDescent="0.2">
      <c r="A110" s="48" t="s">
        <v>241</v>
      </c>
      <c r="B110" s="48" t="s">
        <v>242</v>
      </c>
      <c r="C110" s="48" t="s">
        <v>243</v>
      </c>
      <c r="D110" s="63" t="s">
        <v>701</v>
      </c>
      <c r="E110" s="6" t="s">
        <v>292</v>
      </c>
      <c r="F110" s="16"/>
      <c r="G110" s="17"/>
      <c r="H110" s="16"/>
      <c r="I110" s="28">
        <f>1101100+100000+1928693</f>
        <v>3129793</v>
      </c>
    </row>
    <row r="111" spans="1:9" s="32" customFormat="1" ht="15" x14ac:dyDescent="0.2">
      <c r="A111" s="48" t="s">
        <v>422</v>
      </c>
      <c r="B111" s="48" t="s">
        <v>137</v>
      </c>
      <c r="C111" s="48" t="s">
        <v>138</v>
      </c>
      <c r="D111" s="63" t="s">
        <v>403</v>
      </c>
      <c r="E111" s="6" t="s">
        <v>292</v>
      </c>
      <c r="F111" s="16"/>
      <c r="G111" s="17"/>
      <c r="H111" s="16"/>
      <c r="I111" s="28">
        <f>400000-70000+920000-80000+1376700</f>
        <v>2546700</v>
      </c>
    </row>
    <row r="112" spans="1:9" s="32" customFormat="1" ht="30" x14ac:dyDescent="0.2">
      <c r="A112" s="48" t="s">
        <v>174</v>
      </c>
      <c r="B112" s="48" t="s">
        <v>190</v>
      </c>
      <c r="C112" s="48" t="s">
        <v>295</v>
      </c>
      <c r="D112" s="63" t="s">
        <v>294</v>
      </c>
      <c r="E112" s="6" t="s">
        <v>292</v>
      </c>
      <c r="F112" s="16"/>
      <c r="G112" s="17"/>
      <c r="H112" s="16"/>
      <c r="I112" s="28">
        <f>179000+191100</f>
        <v>370100</v>
      </c>
    </row>
    <row r="113" spans="1:9" s="32" customFormat="1" ht="18.75" customHeight="1" x14ac:dyDescent="0.2">
      <c r="A113" s="48" t="s">
        <v>263</v>
      </c>
      <c r="B113" s="48" t="s">
        <v>264</v>
      </c>
      <c r="C113" s="48" t="s">
        <v>457</v>
      </c>
      <c r="D113" s="63" t="s">
        <v>265</v>
      </c>
      <c r="E113" s="6" t="s">
        <v>292</v>
      </c>
      <c r="F113" s="16"/>
      <c r="G113" s="17"/>
      <c r="H113" s="16"/>
      <c r="I113" s="28">
        <f>4134300-1483000</f>
        <v>2651300</v>
      </c>
    </row>
    <row r="114" spans="1:9" s="32" customFormat="1" ht="18.75" customHeight="1" x14ac:dyDescent="0.2">
      <c r="A114" s="48" t="s">
        <v>455</v>
      </c>
      <c r="B114" s="48" t="s">
        <v>456</v>
      </c>
      <c r="C114" s="48" t="s">
        <v>457</v>
      </c>
      <c r="D114" s="63" t="s">
        <v>458</v>
      </c>
      <c r="E114" s="6" t="s">
        <v>292</v>
      </c>
      <c r="F114" s="16"/>
      <c r="G114" s="17"/>
      <c r="H114" s="16"/>
      <c r="I114" s="28">
        <f>7810400+180500-199000</f>
        <v>7791900</v>
      </c>
    </row>
    <row r="115" spans="1:9" s="32" customFormat="1" ht="18.75" customHeight="1" x14ac:dyDescent="0.2">
      <c r="A115" s="48" t="s">
        <v>266</v>
      </c>
      <c r="B115" s="48" t="s">
        <v>387</v>
      </c>
      <c r="C115" s="48"/>
      <c r="D115" s="63" t="s">
        <v>333</v>
      </c>
      <c r="E115" s="6"/>
      <c r="F115" s="16"/>
      <c r="G115" s="17"/>
      <c r="H115" s="16"/>
      <c r="I115" s="28">
        <f>I118+I116</f>
        <v>3962518</v>
      </c>
    </row>
    <row r="116" spans="1:9" s="45" customFormat="1" ht="18.75" customHeight="1" x14ac:dyDescent="0.2">
      <c r="A116" s="44" t="s">
        <v>155</v>
      </c>
      <c r="B116" s="44" t="s">
        <v>530</v>
      </c>
      <c r="C116" s="44" t="s">
        <v>44</v>
      </c>
      <c r="D116" s="95" t="s">
        <v>201</v>
      </c>
      <c r="E116" s="8"/>
      <c r="F116" s="20"/>
      <c r="G116" s="21"/>
      <c r="H116" s="20"/>
      <c r="I116" s="29">
        <f>I117</f>
        <v>175400</v>
      </c>
    </row>
    <row r="117" spans="1:9" s="32" customFormat="1" ht="30" x14ac:dyDescent="0.2">
      <c r="A117" s="48"/>
      <c r="B117" s="48"/>
      <c r="C117" s="48"/>
      <c r="D117" s="63"/>
      <c r="E117" s="6" t="s">
        <v>540</v>
      </c>
      <c r="F117" s="16"/>
      <c r="G117" s="17"/>
      <c r="H117" s="16"/>
      <c r="I117" s="28">
        <f>150500+24900</f>
        <v>175400</v>
      </c>
    </row>
    <row r="118" spans="1:9" s="45" customFormat="1" ht="18.75" customHeight="1" x14ac:dyDescent="0.2">
      <c r="A118" s="44" t="s">
        <v>267</v>
      </c>
      <c r="B118" s="44" t="s">
        <v>135</v>
      </c>
      <c r="C118" s="44" t="s">
        <v>44</v>
      </c>
      <c r="D118" s="95" t="s">
        <v>136</v>
      </c>
      <c r="E118" s="8"/>
      <c r="F118" s="20"/>
      <c r="G118" s="21"/>
      <c r="H118" s="20"/>
      <c r="I118" s="29">
        <f>I119+I120+I121+I123+I124+I122+I125+I126</f>
        <v>3787118</v>
      </c>
    </row>
    <row r="119" spans="1:9" s="45" customFormat="1" ht="45" x14ac:dyDescent="0.2">
      <c r="A119" s="44"/>
      <c r="B119" s="44"/>
      <c r="C119" s="44"/>
      <c r="D119" s="95"/>
      <c r="E119" s="6" t="s">
        <v>702</v>
      </c>
      <c r="F119" s="20"/>
      <c r="G119" s="21"/>
      <c r="H119" s="20"/>
      <c r="I119" s="28">
        <f>1800000-305000</f>
        <v>1495000</v>
      </c>
    </row>
    <row r="120" spans="1:9" s="45" customFormat="1" ht="60" x14ac:dyDescent="0.2">
      <c r="A120" s="44"/>
      <c r="B120" s="44"/>
      <c r="C120" s="44"/>
      <c r="D120" s="95"/>
      <c r="E120" s="6" t="s">
        <v>703</v>
      </c>
      <c r="F120" s="20"/>
      <c r="G120" s="21"/>
      <c r="H120" s="20"/>
      <c r="I120" s="28">
        <v>200000</v>
      </c>
    </row>
    <row r="121" spans="1:9" s="45" customFormat="1" ht="45" x14ac:dyDescent="0.2">
      <c r="A121" s="44"/>
      <c r="B121" s="44"/>
      <c r="C121" s="44"/>
      <c r="D121" s="95"/>
      <c r="E121" s="6" t="s">
        <v>704</v>
      </c>
      <c r="F121" s="20"/>
      <c r="G121" s="21"/>
      <c r="H121" s="20"/>
      <c r="I121" s="28">
        <v>490000</v>
      </c>
    </row>
    <row r="122" spans="1:9" s="45" customFormat="1" ht="45" x14ac:dyDescent="0.2">
      <c r="A122" s="44"/>
      <c r="B122" s="44"/>
      <c r="C122" s="44"/>
      <c r="D122" s="95"/>
      <c r="E122" s="6" t="s">
        <v>659</v>
      </c>
      <c r="F122" s="20"/>
      <c r="G122" s="21"/>
      <c r="H122" s="20"/>
      <c r="I122" s="28">
        <f>4510000-179000-1928693-1933189</f>
        <v>469118</v>
      </c>
    </row>
    <row r="123" spans="1:9" s="45" customFormat="1" ht="90" x14ac:dyDescent="0.2">
      <c r="A123" s="44"/>
      <c r="B123" s="44"/>
      <c r="C123" s="44"/>
      <c r="D123" s="95"/>
      <c r="E123" s="6" t="s">
        <v>705</v>
      </c>
      <c r="F123" s="20"/>
      <c r="G123" s="21"/>
      <c r="H123" s="20"/>
      <c r="I123" s="28">
        <v>38000</v>
      </c>
    </row>
    <row r="124" spans="1:9" s="45" customFormat="1" ht="105" x14ac:dyDescent="0.2">
      <c r="A124" s="44"/>
      <c r="B124" s="44"/>
      <c r="C124" s="44"/>
      <c r="D124" s="95"/>
      <c r="E124" s="6" t="s">
        <v>781</v>
      </c>
      <c r="F124" s="20"/>
      <c r="G124" s="21"/>
      <c r="H124" s="20"/>
      <c r="I124" s="28">
        <v>120000</v>
      </c>
    </row>
    <row r="125" spans="1:9" s="45" customFormat="1" ht="45" x14ac:dyDescent="0.2">
      <c r="A125" s="44"/>
      <c r="B125" s="44"/>
      <c r="C125" s="44"/>
      <c r="D125" s="95"/>
      <c r="E125" s="6" t="s">
        <v>100</v>
      </c>
      <c r="F125" s="20"/>
      <c r="G125" s="21"/>
      <c r="H125" s="20"/>
      <c r="I125" s="28">
        <v>471000</v>
      </c>
    </row>
    <row r="126" spans="1:9" s="45" customFormat="1" ht="30" x14ac:dyDescent="0.2">
      <c r="A126" s="44"/>
      <c r="B126" s="44"/>
      <c r="C126" s="44"/>
      <c r="D126" s="95"/>
      <c r="E126" s="6" t="s">
        <v>541</v>
      </c>
      <c r="F126" s="20"/>
      <c r="G126" s="21"/>
      <c r="H126" s="20"/>
      <c r="I126" s="28">
        <f>305000+199000</f>
        <v>504000</v>
      </c>
    </row>
    <row r="127" spans="1:9" s="51" customFormat="1" ht="28.5" x14ac:dyDescent="0.2">
      <c r="A127" s="9" t="s">
        <v>80</v>
      </c>
      <c r="B127" s="9"/>
      <c r="C127" s="9"/>
      <c r="D127" s="94" t="s">
        <v>18</v>
      </c>
      <c r="E127" s="10"/>
      <c r="F127" s="18"/>
      <c r="G127" s="19"/>
      <c r="H127" s="18"/>
      <c r="I127" s="27">
        <f>I128</f>
        <v>5080954</v>
      </c>
    </row>
    <row r="128" spans="1:9" s="51" customFormat="1" ht="28.5" x14ac:dyDescent="0.2">
      <c r="A128" s="9" t="s">
        <v>81</v>
      </c>
      <c r="B128" s="9"/>
      <c r="C128" s="9"/>
      <c r="D128" s="94" t="s">
        <v>18</v>
      </c>
      <c r="E128" s="10"/>
      <c r="F128" s="18"/>
      <c r="G128" s="19"/>
      <c r="H128" s="18"/>
      <c r="I128" s="27">
        <f>I129+I132</f>
        <v>5080954</v>
      </c>
    </row>
    <row r="129" spans="1:9" s="32" customFormat="1" ht="18.75" customHeight="1" x14ac:dyDescent="0.2">
      <c r="A129" s="48" t="s">
        <v>82</v>
      </c>
      <c r="B129" s="48" t="s">
        <v>377</v>
      </c>
      <c r="C129" s="48"/>
      <c r="D129" s="63" t="s">
        <v>494</v>
      </c>
      <c r="E129" s="6"/>
      <c r="F129" s="16"/>
      <c r="G129" s="17"/>
      <c r="H129" s="16"/>
      <c r="I129" s="28">
        <f>I131+I130</f>
        <v>5065154</v>
      </c>
    </row>
    <row r="130" spans="1:9" s="45" customFormat="1" ht="30" x14ac:dyDescent="0.2">
      <c r="A130" s="44" t="s">
        <v>268</v>
      </c>
      <c r="B130" s="44" t="s">
        <v>71</v>
      </c>
      <c r="C130" s="44" t="s">
        <v>289</v>
      </c>
      <c r="D130" s="95" t="s">
        <v>517</v>
      </c>
      <c r="E130" s="8" t="s">
        <v>292</v>
      </c>
      <c r="F130" s="20"/>
      <c r="G130" s="21"/>
      <c r="H130" s="20"/>
      <c r="I130" s="29">
        <v>96000</v>
      </c>
    </row>
    <row r="131" spans="1:9" s="45" customFormat="1" ht="30" x14ac:dyDescent="0.2">
      <c r="A131" s="44" t="s">
        <v>83</v>
      </c>
      <c r="B131" s="44" t="s">
        <v>45</v>
      </c>
      <c r="C131" s="44" t="s">
        <v>289</v>
      </c>
      <c r="D131" s="95" t="s">
        <v>84</v>
      </c>
      <c r="E131" s="8" t="s">
        <v>292</v>
      </c>
      <c r="F131" s="20"/>
      <c r="G131" s="21"/>
      <c r="H131" s="20"/>
      <c r="I131" s="29">
        <f>3446500+700000+27000+605800+189854</f>
        <v>4969154</v>
      </c>
    </row>
    <row r="132" spans="1:9" s="45" customFormat="1" ht="15" x14ac:dyDescent="0.2">
      <c r="A132" s="44" t="s">
        <v>480</v>
      </c>
      <c r="B132" s="44" t="s">
        <v>482</v>
      </c>
      <c r="C132" s="44"/>
      <c r="D132" s="63" t="s">
        <v>484</v>
      </c>
      <c r="E132" s="8"/>
      <c r="F132" s="20"/>
      <c r="G132" s="21"/>
      <c r="H132" s="20"/>
      <c r="I132" s="28">
        <f>I133</f>
        <v>15800</v>
      </c>
    </row>
    <row r="133" spans="1:9" s="45" customFormat="1" ht="52.5" customHeight="1" x14ac:dyDescent="0.2">
      <c r="A133" s="44" t="s">
        <v>481</v>
      </c>
      <c r="B133" s="44" t="s">
        <v>483</v>
      </c>
      <c r="C133" s="44" t="s">
        <v>289</v>
      </c>
      <c r="D133" s="95" t="s">
        <v>706</v>
      </c>
      <c r="E133" s="8" t="s">
        <v>292</v>
      </c>
      <c r="F133" s="20"/>
      <c r="G133" s="21"/>
      <c r="H133" s="20"/>
      <c r="I133" s="29">
        <v>15800</v>
      </c>
    </row>
    <row r="134" spans="1:9" s="51" customFormat="1" ht="50.45" customHeight="1" x14ac:dyDescent="0.2">
      <c r="A134" s="9" t="s">
        <v>501</v>
      </c>
      <c r="B134" s="35"/>
      <c r="C134" s="9"/>
      <c r="D134" s="9" t="s">
        <v>497</v>
      </c>
      <c r="E134" s="10"/>
      <c r="F134" s="18"/>
      <c r="G134" s="152"/>
      <c r="H134" s="18"/>
      <c r="I134" s="27">
        <f>I135</f>
        <v>1380210749</v>
      </c>
    </row>
    <row r="135" spans="1:9" s="34" customFormat="1" ht="46.15" customHeight="1" x14ac:dyDescent="0.2">
      <c r="A135" s="9" t="s">
        <v>502</v>
      </c>
      <c r="B135" s="30"/>
      <c r="C135" s="30"/>
      <c r="D135" s="9" t="s">
        <v>497</v>
      </c>
      <c r="E135" s="31"/>
      <c r="F135" s="18"/>
      <c r="G135" s="152"/>
      <c r="H135" s="18"/>
      <c r="I135" s="27">
        <f>I141+I169+I228+I292+I313+I136+I167+I226+I321</f>
        <v>1380210749</v>
      </c>
    </row>
    <row r="136" spans="1:9" s="32" customFormat="1" ht="30" x14ac:dyDescent="0.2">
      <c r="A136" s="48" t="s">
        <v>490</v>
      </c>
      <c r="B136" s="48" t="s">
        <v>524</v>
      </c>
      <c r="C136" s="48"/>
      <c r="D136" s="63" t="s">
        <v>525</v>
      </c>
      <c r="E136" s="6"/>
      <c r="F136" s="16"/>
      <c r="G136" s="39"/>
      <c r="H136" s="16"/>
      <c r="I136" s="28">
        <f>I137+I139</f>
        <v>281995</v>
      </c>
    </row>
    <row r="137" spans="1:9" s="45" customFormat="1" ht="30" x14ac:dyDescent="0.2">
      <c r="A137" s="44" t="s">
        <v>491</v>
      </c>
      <c r="B137" s="44" t="s">
        <v>526</v>
      </c>
      <c r="C137" s="44" t="s">
        <v>101</v>
      </c>
      <c r="D137" s="95" t="s">
        <v>527</v>
      </c>
      <c r="E137" s="8" t="s">
        <v>292</v>
      </c>
      <c r="F137" s="20"/>
      <c r="G137" s="38"/>
      <c r="H137" s="20"/>
      <c r="I137" s="29">
        <v>88158</v>
      </c>
    </row>
    <row r="138" spans="1:9" s="45" customFormat="1" ht="15" x14ac:dyDescent="0.2">
      <c r="A138" s="44"/>
      <c r="B138" s="44"/>
      <c r="C138" s="44"/>
      <c r="D138" s="59" t="s">
        <v>211</v>
      </c>
      <c r="E138" s="8"/>
      <c r="F138" s="20"/>
      <c r="G138" s="38"/>
      <c r="H138" s="20"/>
      <c r="I138" s="29">
        <v>88158</v>
      </c>
    </row>
    <row r="139" spans="1:9" s="45" customFormat="1" ht="30" customHeight="1" x14ac:dyDescent="0.2">
      <c r="A139" s="44" t="s">
        <v>492</v>
      </c>
      <c r="B139" s="44" t="s">
        <v>436</v>
      </c>
      <c r="C139" s="44" t="s">
        <v>101</v>
      </c>
      <c r="D139" s="95" t="s">
        <v>410</v>
      </c>
      <c r="E139" s="8" t="s">
        <v>292</v>
      </c>
      <c r="F139" s="20"/>
      <c r="G139" s="38"/>
      <c r="H139" s="20"/>
      <c r="I139" s="29">
        <f>185731+8106</f>
        <v>193837</v>
      </c>
    </row>
    <row r="140" spans="1:9" s="45" customFormat="1" ht="15" x14ac:dyDescent="0.2">
      <c r="A140" s="44"/>
      <c r="B140" s="44"/>
      <c r="C140" s="44"/>
      <c r="D140" s="59" t="s">
        <v>211</v>
      </c>
      <c r="E140" s="8"/>
      <c r="F140" s="20"/>
      <c r="G140" s="38"/>
      <c r="H140" s="20"/>
      <c r="I140" s="29">
        <v>185731</v>
      </c>
    </row>
    <row r="141" spans="1:9" s="32" customFormat="1" ht="21.75" customHeight="1" x14ac:dyDescent="0.2">
      <c r="A141" s="48" t="s">
        <v>126</v>
      </c>
      <c r="B141" s="48" t="s">
        <v>127</v>
      </c>
      <c r="C141" s="48" t="s">
        <v>101</v>
      </c>
      <c r="D141" s="63" t="s">
        <v>102</v>
      </c>
      <c r="E141" s="6"/>
      <c r="F141" s="16"/>
      <c r="G141" s="39"/>
      <c r="H141" s="16"/>
      <c r="I141" s="28">
        <f>I144+I146+I151+I153+I157+I159+I164+I142+I147+I154+I161+I166+I149</f>
        <v>85358996</v>
      </c>
    </row>
    <row r="142" spans="1:9" s="32" customFormat="1" ht="21.75" customHeight="1" x14ac:dyDescent="0.2">
      <c r="A142" s="48"/>
      <c r="B142" s="48"/>
      <c r="C142" s="48"/>
      <c r="D142" s="63"/>
      <c r="E142" s="6" t="s">
        <v>292</v>
      </c>
      <c r="F142" s="16"/>
      <c r="G142" s="39"/>
      <c r="H142" s="16"/>
      <c r="I142" s="28">
        <f>100000+19390000+10900000</f>
        <v>30390000</v>
      </c>
    </row>
    <row r="143" spans="1:9" s="32" customFormat="1" ht="21.75" customHeight="1" x14ac:dyDescent="0.2">
      <c r="A143" s="48"/>
      <c r="B143" s="48"/>
      <c r="C143" s="48"/>
      <c r="D143" s="63"/>
      <c r="E143" s="56" t="s">
        <v>103</v>
      </c>
      <c r="F143" s="16"/>
      <c r="G143" s="39"/>
      <c r="H143" s="16"/>
      <c r="I143" s="28"/>
    </row>
    <row r="144" spans="1:9" s="32" customFormat="1" ht="45" customHeight="1" x14ac:dyDescent="0.2">
      <c r="A144" s="48"/>
      <c r="B144" s="48"/>
      <c r="C144" s="48"/>
      <c r="D144" s="63"/>
      <c r="E144" s="6" t="s">
        <v>542</v>
      </c>
      <c r="F144" s="16">
        <v>31783268</v>
      </c>
      <c r="G144" s="97">
        <v>31.133576320723215</v>
      </c>
      <c r="H144" s="98">
        <v>9895268</v>
      </c>
      <c r="I144" s="28">
        <v>21888000</v>
      </c>
    </row>
    <row r="145" spans="1:9" s="32" customFormat="1" ht="15" x14ac:dyDescent="0.2">
      <c r="A145" s="48"/>
      <c r="B145" s="48"/>
      <c r="C145" s="48"/>
      <c r="D145" s="63"/>
      <c r="E145" s="56" t="s">
        <v>88</v>
      </c>
      <c r="F145" s="16"/>
      <c r="G145" s="39"/>
      <c r="H145" s="16"/>
      <c r="I145" s="28"/>
    </row>
    <row r="146" spans="1:9" s="32" customFormat="1" ht="37.5" customHeight="1" x14ac:dyDescent="0.2">
      <c r="A146" s="48"/>
      <c r="B146" s="48"/>
      <c r="C146" s="48"/>
      <c r="D146" s="63"/>
      <c r="E146" s="6" t="s">
        <v>417</v>
      </c>
      <c r="F146" s="16">
        <v>22240098</v>
      </c>
      <c r="G146" s="97">
        <v>97.3</v>
      </c>
      <c r="H146" s="98">
        <v>21630098</v>
      </c>
      <c r="I146" s="28">
        <f>20000000-19390000</f>
        <v>610000</v>
      </c>
    </row>
    <row r="147" spans="1:9" s="32" customFormat="1" ht="37.5" customHeight="1" x14ac:dyDescent="0.2">
      <c r="A147" s="48"/>
      <c r="B147" s="48"/>
      <c r="C147" s="48"/>
      <c r="D147" s="63"/>
      <c r="E147" s="6" t="s">
        <v>707</v>
      </c>
      <c r="F147" s="16">
        <v>21631247</v>
      </c>
      <c r="G147" s="97">
        <v>2.2999999999999998</v>
      </c>
      <c r="H147" s="98">
        <v>496937</v>
      </c>
      <c r="I147" s="28">
        <f>2714000+73000</f>
        <v>2787000</v>
      </c>
    </row>
    <row r="148" spans="1:9" s="32" customFormat="1" ht="15" x14ac:dyDescent="0.2">
      <c r="A148" s="48"/>
      <c r="B148" s="48"/>
      <c r="C148" s="48"/>
      <c r="D148" s="63"/>
      <c r="E148" s="56" t="s">
        <v>207</v>
      </c>
      <c r="F148" s="16"/>
      <c r="G148" s="97"/>
      <c r="H148" s="98"/>
      <c r="I148" s="28"/>
    </row>
    <row r="149" spans="1:9" s="32" customFormat="1" ht="37.5" customHeight="1" x14ac:dyDescent="0.2">
      <c r="A149" s="48"/>
      <c r="B149" s="48"/>
      <c r="C149" s="48"/>
      <c r="D149" s="63"/>
      <c r="E149" s="6" t="s">
        <v>543</v>
      </c>
      <c r="F149" s="16">
        <v>233480660</v>
      </c>
      <c r="G149" s="97">
        <v>95.78851627368195</v>
      </c>
      <c r="H149" s="98">
        <v>223647660</v>
      </c>
      <c r="I149" s="28">
        <v>7333000</v>
      </c>
    </row>
    <row r="150" spans="1:9" s="32" customFormat="1" ht="15" x14ac:dyDescent="0.2">
      <c r="A150" s="48"/>
      <c r="B150" s="48"/>
      <c r="C150" s="48"/>
      <c r="D150" s="63"/>
      <c r="E150" s="56" t="s">
        <v>105</v>
      </c>
      <c r="F150" s="16"/>
      <c r="G150" s="97"/>
      <c r="H150" s="98"/>
      <c r="I150" s="28"/>
    </row>
    <row r="151" spans="1:9" s="32" customFormat="1" ht="60" x14ac:dyDescent="0.2">
      <c r="A151" s="48"/>
      <c r="B151" s="48"/>
      <c r="C151" s="48"/>
      <c r="D151" s="63"/>
      <c r="E151" s="6" t="s">
        <v>782</v>
      </c>
      <c r="F151" s="16">
        <v>1500000</v>
      </c>
      <c r="G151" s="97">
        <v>93.333333333333329</v>
      </c>
      <c r="H151" s="98">
        <v>1400000</v>
      </c>
      <c r="I151" s="28">
        <v>100000</v>
      </c>
    </row>
    <row r="152" spans="1:9" s="32" customFormat="1" ht="15" x14ac:dyDescent="0.2">
      <c r="A152" s="48"/>
      <c r="B152" s="48"/>
      <c r="C152" s="48"/>
      <c r="D152" s="63"/>
      <c r="E152" s="56" t="s">
        <v>106</v>
      </c>
      <c r="F152" s="16"/>
      <c r="G152" s="97"/>
      <c r="H152" s="98"/>
      <c r="I152" s="28"/>
    </row>
    <row r="153" spans="1:9" s="32" customFormat="1" ht="37.5" customHeight="1" x14ac:dyDescent="0.2">
      <c r="A153" s="48"/>
      <c r="B153" s="48"/>
      <c r="C153" s="48"/>
      <c r="D153" s="63"/>
      <c r="E153" s="6" t="s">
        <v>107</v>
      </c>
      <c r="F153" s="16">
        <v>46214259</v>
      </c>
      <c r="G153" s="97">
        <v>54.2</v>
      </c>
      <c r="H153" s="98">
        <v>25070809</v>
      </c>
      <c r="I153" s="28">
        <f>12980000+2364000+3370000-10000000</f>
        <v>8714000</v>
      </c>
    </row>
    <row r="154" spans="1:9" s="32" customFormat="1" ht="39.75" customHeight="1" x14ac:dyDescent="0.2">
      <c r="A154" s="48"/>
      <c r="B154" s="48"/>
      <c r="C154" s="48"/>
      <c r="D154" s="63"/>
      <c r="E154" s="6" t="s">
        <v>544</v>
      </c>
      <c r="F154" s="16">
        <v>16917336</v>
      </c>
      <c r="G154" s="97"/>
      <c r="H154" s="98"/>
      <c r="I154" s="28">
        <v>99086</v>
      </c>
    </row>
    <row r="155" spans="1:9" s="45" customFormat="1" ht="18" customHeight="1" x14ac:dyDescent="0.2">
      <c r="A155" s="44"/>
      <c r="B155" s="44"/>
      <c r="C155" s="44"/>
      <c r="D155" s="95"/>
      <c r="E155" s="8" t="s">
        <v>215</v>
      </c>
      <c r="F155" s="20"/>
      <c r="G155" s="99"/>
      <c r="H155" s="100"/>
      <c r="I155" s="29">
        <v>99086</v>
      </c>
    </row>
    <row r="156" spans="1:9" s="32" customFormat="1" ht="15" x14ac:dyDescent="0.2">
      <c r="A156" s="48"/>
      <c r="B156" s="48"/>
      <c r="C156" s="48"/>
      <c r="D156" s="63"/>
      <c r="E156" s="56" t="s">
        <v>110</v>
      </c>
      <c r="F156" s="16"/>
      <c r="G156" s="97"/>
      <c r="H156" s="98"/>
      <c r="I156" s="28"/>
    </row>
    <row r="157" spans="1:9" s="32" customFormat="1" ht="37.5" customHeight="1" x14ac:dyDescent="0.2">
      <c r="A157" s="48"/>
      <c r="B157" s="48"/>
      <c r="C157" s="48"/>
      <c r="D157" s="63"/>
      <c r="E157" s="6" t="s">
        <v>545</v>
      </c>
      <c r="F157" s="16">
        <v>6704929</v>
      </c>
      <c r="G157" s="97"/>
      <c r="H157" s="98"/>
      <c r="I157" s="28">
        <v>6623118</v>
      </c>
    </row>
    <row r="158" spans="1:9" s="32" customFormat="1" ht="15" x14ac:dyDescent="0.2">
      <c r="A158" s="48"/>
      <c r="B158" s="48"/>
      <c r="C158" s="48"/>
      <c r="D158" s="63"/>
      <c r="E158" s="56" t="s">
        <v>409</v>
      </c>
      <c r="F158" s="16"/>
      <c r="G158" s="97"/>
      <c r="H158" s="98"/>
      <c r="I158" s="28"/>
    </row>
    <row r="159" spans="1:9" s="32" customFormat="1" ht="32.25" customHeight="1" x14ac:dyDescent="0.2">
      <c r="A159" s="48"/>
      <c r="B159" s="48"/>
      <c r="C159" s="48"/>
      <c r="D159" s="63"/>
      <c r="E159" s="6" t="s">
        <v>359</v>
      </c>
      <c r="F159" s="16">
        <v>2175779</v>
      </c>
      <c r="G159" s="97">
        <v>5.3</v>
      </c>
      <c r="H159" s="98">
        <v>115779</v>
      </c>
      <c r="I159" s="28">
        <f>1660000+400000</f>
        <v>2060000</v>
      </c>
    </row>
    <row r="160" spans="1:9" s="32" customFormat="1" ht="15" x14ac:dyDescent="0.2">
      <c r="A160" s="48"/>
      <c r="B160" s="48"/>
      <c r="C160" s="48"/>
      <c r="D160" s="63"/>
      <c r="E160" s="56" t="s">
        <v>244</v>
      </c>
      <c r="F160" s="16"/>
      <c r="G160" s="97"/>
      <c r="H160" s="98"/>
      <c r="I160" s="28"/>
    </row>
    <row r="161" spans="1:9" s="32" customFormat="1" ht="45" x14ac:dyDescent="0.2">
      <c r="A161" s="48"/>
      <c r="B161" s="48"/>
      <c r="C161" s="48"/>
      <c r="D161" s="63"/>
      <c r="E161" s="6" t="s">
        <v>156</v>
      </c>
      <c r="F161" s="16"/>
      <c r="G161" s="97"/>
      <c r="H161" s="98"/>
      <c r="I161" s="28">
        <v>22020</v>
      </c>
    </row>
    <row r="162" spans="1:9" s="45" customFormat="1" ht="23.25" customHeight="1" x14ac:dyDescent="0.2">
      <c r="A162" s="44"/>
      <c r="B162" s="44"/>
      <c r="C162" s="44"/>
      <c r="D162" s="95"/>
      <c r="E162" s="8" t="s">
        <v>215</v>
      </c>
      <c r="F162" s="20"/>
      <c r="G162" s="99"/>
      <c r="H162" s="100"/>
      <c r="I162" s="29">
        <v>22020</v>
      </c>
    </row>
    <row r="163" spans="1:9" s="32" customFormat="1" ht="15" x14ac:dyDescent="0.2">
      <c r="A163" s="48"/>
      <c r="B163" s="48"/>
      <c r="C163" s="48"/>
      <c r="D163" s="63"/>
      <c r="E163" s="56" t="s">
        <v>679</v>
      </c>
      <c r="F163" s="16"/>
      <c r="G163" s="97"/>
      <c r="H163" s="98"/>
      <c r="I163" s="28"/>
    </row>
    <row r="164" spans="1:9" s="32" customFormat="1" ht="37.5" customHeight="1" x14ac:dyDescent="0.2">
      <c r="A164" s="48"/>
      <c r="B164" s="48"/>
      <c r="C164" s="48"/>
      <c r="D164" s="63"/>
      <c r="E164" s="6" t="s">
        <v>684</v>
      </c>
      <c r="F164" s="16">
        <v>45232468</v>
      </c>
      <c r="G164" s="97">
        <v>89.76</v>
      </c>
      <c r="H164" s="98">
        <v>40599696</v>
      </c>
      <c r="I164" s="28">
        <v>4632772</v>
      </c>
    </row>
    <row r="165" spans="1:9" s="32" customFormat="1" ht="15" x14ac:dyDescent="0.2">
      <c r="A165" s="48"/>
      <c r="B165" s="48"/>
      <c r="C165" s="48"/>
      <c r="D165" s="63"/>
      <c r="E165" s="56" t="s">
        <v>313</v>
      </c>
      <c r="F165" s="16"/>
      <c r="G165" s="97"/>
      <c r="H165" s="98"/>
      <c r="I165" s="28"/>
    </row>
    <row r="166" spans="1:9" s="32" customFormat="1" ht="37.5" customHeight="1" x14ac:dyDescent="0.2">
      <c r="A166" s="48"/>
      <c r="B166" s="48"/>
      <c r="C166" s="48"/>
      <c r="D166" s="63"/>
      <c r="E166" s="6" t="s">
        <v>157</v>
      </c>
      <c r="F166" s="16">
        <v>17271075</v>
      </c>
      <c r="G166" s="97">
        <v>99.420997245394389</v>
      </c>
      <c r="H166" s="98">
        <v>17171075</v>
      </c>
      <c r="I166" s="28">
        <v>100000</v>
      </c>
    </row>
    <row r="167" spans="1:9" s="32" customFormat="1" ht="15" x14ac:dyDescent="0.2">
      <c r="A167" s="48" t="s">
        <v>151</v>
      </c>
      <c r="B167" s="48" t="s">
        <v>152</v>
      </c>
      <c r="C167" s="48" t="s">
        <v>101</v>
      </c>
      <c r="D167" s="63" t="s">
        <v>153</v>
      </c>
      <c r="E167" s="6" t="s">
        <v>154</v>
      </c>
      <c r="F167" s="16"/>
      <c r="G167" s="97"/>
      <c r="H167" s="98"/>
      <c r="I167" s="28">
        <v>23327</v>
      </c>
    </row>
    <row r="168" spans="1:9" s="45" customFormat="1" ht="15" x14ac:dyDescent="0.2">
      <c r="A168" s="44"/>
      <c r="B168" s="44"/>
      <c r="C168" s="44"/>
      <c r="D168" s="95"/>
      <c r="E168" s="8" t="s">
        <v>211</v>
      </c>
      <c r="F168" s="20"/>
      <c r="G168" s="99"/>
      <c r="H168" s="100"/>
      <c r="I168" s="29">
        <v>23327</v>
      </c>
    </row>
    <row r="169" spans="1:9" s="32" customFormat="1" ht="19.5" customHeight="1" x14ac:dyDescent="0.2">
      <c r="A169" s="48" t="s">
        <v>379</v>
      </c>
      <c r="B169" s="48" t="s">
        <v>378</v>
      </c>
      <c r="C169" s="48" t="s">
        <v>44</v>
      </c>
      <c r="D169" s="63" t="s">
        <v>685</v>
      </c>
      <c r="E169" s="6"/>
      <c r="F169" s="16"/>
      <c r="G169" s="39"/>
      <c r="H169" s="16"/>
      <c r="I169" s="28">
        <f>I179+I180+I219+I170+I172+I175+I177+I182+I183+I184+I185+I187+I189+I194+I197+I199+I203+I206+I208+I213+I221+I224+I216+I191+I192+I211+I201</f>
        <v>53589281</v>
      </c>
    </row>
    <row r="170" spans="1:9" s="32" customFormat="1" ht="32.25" customHeight="1" x14ac:dyDescent="0.2">
      <c r="A170" s="48"/>
      <c r="B170" s="48"/>
      <c r="C170" s="48"/>
      <c r="D170" s="63"/>
      <c r="E170" s="6" t="s">
        <v>660</v>
      </c>
      <c r="F170" s="16">
        <v>40966915</v>
      </c>
      <c r="G170" s="39">
        <v>20.7</v>
      </c>
      <c r="H170" s="16">
        <v>8484145</v>
      </c>
      <c r="I170" s="28">
        <f>6997039+1633039+1690000</f>
        <v>10320078</v>
      </c>
    </row>
    <row r="171" spans="1:9" s="32" customFormat="1" ht="15" x14ac:dyDescent="0.2">
      <c r="A171" s="48"/>
      <c r="B171" s="48"/>
      <c r="C171" s="48"/>
      <c r="D171" s="63"/>
      <c r="E171" s="77" t="s">
        <v>149</v>
      </c>
      <c r="F171" s="16"/>
      <c r="G171" s="97"/>
      <c r="H171" s="98"/>
      <c r="I171" s="28"/>
    </row>
    <row r="172" spans="1:9" s="32" customFormat="1" ht="39" customHeight="1" x14ac:dyDescent="0.2">
      <c r="A172" s="48"/>
      <c r="B172" s="48"/>
      <c r="C172" s="48"/>
      <c r="D172" s="63"/>
      <c r="E172" s="6" t="s">
        <v>546</v>
      </c>
      <c r="F172" s="16"/>
      <c r="G172" s="97"/>
      <c r="H172" s="98"/>
      <c r="I172" s="28">
        <v>489276</v>
      </c>
    </row>
    <row r="173" spans="1:9" s="45" customFormat="1" ht="15" x14ac:dyDescent="0.2">
      <c r="A173" s="44"/>
      <c r="B173" s="44"/>
      <c r="C173" s="44"/>
      <c r="D173" s="95"/>
      <c r="E173" s="8" t="s">
        <v>211</v>
      </c>
      <c r="F173" s="20"/>
      <c r="G173" s="99"/>
      <c r="H173" s="100"/>
      <c r="I173" s="29">
        <v>489276</v>
      </c>
    </row>
    <row r="174" spans="1:9" s="45" customFormat="1" ht="15" x14ac:dyDescent="0.2">
      <c r="A174" s="44"/>
      <c r="B174" s="44"/>
      <c r="C174" s="44"/>
      <c r="D174" s="95"/>
      <c r="E174" s="56" t="s">
        <v>420</v>
      </c>
      <c r="F174" s="20"/>
      <c r="G174" s="99"/>
      <c r="H174" s="100"/>
      <c r="I174" s="29"/>
    </row>
    <row r="175" spans="1:9" s="45" customFormat="1" ht="45" x14ac:dyDescent="0.2">
      <c r="A175" s="44"/>
      <c r="B175" s="44"/>
      <c r="C175" s="44"/>
      <c r="D175" s="95"/>
      <c r="E175" s="6" t="s">
        <v>139</v>
      </c>
      <c r="F175" s="20"/>
      <c r="G175" s="99"/>
      <c r="H175" s="100"/>
      <c r="I175" s="28">
        <v>414948</v>
      </c>
    </row>
    <row r="176" spans="1:9" s="45" customFormat="1" ht="15" x14ac:dyDescent="0.2">
      <c r="A176" s="44"/>
      <c r="B176" s="44"/>
      <c r="C176" s="44"/>
      <c r="D176" s="95"/>
      <c r="E176" s="8" t="s">
        <v>140</v>
      </c>
      <c r="F176" s="20"/>
      <c r="G176" s="99"/>
      <c r="H176" s="100"/>
      <c r="I176" s="29">
        <v>414948</v>
      </c>
    </row>
    <row r="177" spans="1:9" s="45" customFormat="1" ht="45" x14ac:dyDescent="0.2">
      <c r="A177" s="44"/>
      <c r="B177" s="44"/>
      <c r="C177" s="44"/>
      <c r="D177" s="95"/>
      <c r="E177" s="6" t="s">
        <v>424</v>
      </c>
      <c r="F177" s="16">
        <v>17826478</v>
      </c>
      <c r="G177" s="97">
        <v>49.2</v>
      </c>
      <c r="H177" s="98">
        <v>8776478</v>
      </c>
      <c r="I177" s="28">
        <f>100000+8950000</f>
        <v>9050000</v>
      </c>
    </row>
    <row r="178" spans="1:9" s="32" customFormat="1" ht="15" x14ac:dyDescent="0.2">
      <c r="A178" s="48"/>
      <c r="B178" s="48"/>
      <c r="C178" s="48"/>
      <c r="D178" s="63"/>
      <c r="E178" s="56" t="s">
        <v>367</v>
      </c>
      <c r="F178" s="16"/>
      <c r="G178" s="97"/>
      <c r="H178" s="98"/>
      <c r="I178" s="28"/>
    </row>
    <row r="179" spans="1:9" s="32" customFormat="1" ht="30" customHeight="1" x14ac:dyDescent="0.2">
      <c r="A179" s="48"/>
      <c r="B179" s="48"/>
      <c r="C179" s="48"/>
      <c r="D179" s="63"/>
      <c r="E179" s="6" t="s">
        <v>547</v>
      </c>
      <c r="F179" s="16">
        <v>30330785</v>
      </c>
      <c r="G179" s="97">
        <v>0</v>
      </c>
      <c r="H179" s="98">
        <v>0</v>
      </c>
      <c r="I179" s="28">
        <v>10000000</v>
      </c>
    </row>
    <row r="180" spans="1:9" s="32" customFormat="1" ht="30" customHeight="1" x14ac:dyDescent="0.2">
      <c r="A180" s="48"/>
      <c r="B180" s="48"/>
      <c r="C180" s="48"/>
      <c r="D180" s="63"/>
      <c r="E180" s="6" t="s">
        <v>548</v>
      </c>
      <c r="F180" s="16">
        <v>5355882</v>
      </c>
      <c r="G180" s="97">
        <v>0</v>
      </c>
      <c r="H180" s="98">
        <v>0</v>
      </c>
      <c r="I180" s="28">
        <v>3363120</v>
      </c>
    </row>
    <row r="181" spans="1:9" s="32" customFormat="1" ht="15" x14ac:dyDescent="0.2">
      <c r="A181" s="48"/>
      <c r="B181" s="48"/>
      <c r="C181" s="48"/>
      <c r="D181" s="63"/>
      <c r="E181" s="56" t="s">
        <v>310</v>
      </c>
      <c r="F181" s="16"/>
      <c r="G181" s="97"/>
      <c r="H181" s="98"/>
      <c r="I181" s="28"/>
    </row>
    <row r="182" spans="1:9" s="32" customFormat="1" ht="45" x14ac:dyDescent="0.2">
      <c r="A182" s="48"/>
      <c r="B182" s="48"/>
      <c r="C182" s="48"/>
      <c r="D182" s="63"/>
      <c r="E182" s="6" t="s">
        <v>549</v>
      </c>
      <c r="F182" s="16">
        <v>13225022</v>
      </c>
      <c r="G182" s="97">
        <v>99.8</v>
      </c>
      <c r="H182" s="98">
        <v>13198634</v>
      </c>
      <c r="I182" s="28">
        <f>4500000-4473612</f>
        <v>26388</v>
      </c>
    </row>
    <row r="183" spans="1:9" s="32" customFormat="1" ht="45" x14ac:dyDescent="0.2">
      <c r="A183" s="48"/>
      <c r="B183" s="48"/>
      <c r="C183" s="48"/>
      <c r="D183" s="63"/>
      <c r="E183" s="6" t="s">
        <v>783</v>
      </c>
      <c r="F183" s="16">
        <v>4141340</v>
      </c>
      <c r="G183" s="97"/>
      <c r="H183" s="98"/>
      <c r="I183" s="28">
        <f>2000000-81106</f>
        <v>1918894</v>
      </c>
    </row>
    <row r="184" spans="1:9" s="32" customFormat="1" ht="30" x14ac:dyDescent="0.2">
      <c r="A184" s="48"/>
      <c r="B184" s="48"/>
      <c r="C184" s="48"/>
      <c r="D184" s="63"/>
      <c r="E184" s="6" t="s">
        <v>550</v>
      </c>
      <c r="F184" s="16">
        <v>2986766</v>
      </c>
      <c r="G184" s="97">
        <v>4.0999999999999996</v>
      </c>
      <c r="H184" s="98">
        <v>121460</v>
      </c>
      <c r="I184" s="28">
        <v>1800000</v>
      </c>
    </row>
    <row r="185" spans="1:9" s="32" customFormat="1" ht="45" x14ac:dyDescent="0.2">
      <c r="A185" s="48"/>
      <c r="B185" s="48"/>
      <c r="C185" s="48"/>
      <c r="D185" s="63"/>
      <c r="E185" s="6" t="s">
        <v>551</v>
      </c>
      <c r="F185" s="16"/>
      <c r="G185" s="97"/>
      <c r="H185" s="98"/>
      <c r="I185" s="28">
        <v>60787</v>
      </c>
    </row>
    <row r="186" spans="1:9" s="45" customFormat="1" ht="15" x14ac:dyDescent="0.2">
      <c r="A186" s="44"/>
      <c r="B186" s="44"/>
      <c r="C186" s="44"/>
      <c r="D186" s="95"/>
      <c r="E186" s="8" t="s">
        <v>140</v>
      </c>
      <c r="F186" s="20"/>
      <c r="G186" s="99"/>
      <c r="H186" s="100"/>
      <c r="I186" s="29">
        <v>60787</v>
      </c>
    </row>
    <row r="187" spans="1:9" s="32" customFormat="1" ht="45" x14ac:dyDescent="0.2">
      <c r="A187" s="48"/>
      <c r="B187" s="48"/>
      <c r="C187" s="48"/>
      <c r="D187" s="63"/>
      <c r="E187" s="6" t="s">
        <v>552</v>
      </c>
      <c r="F187" s="16"/>
      <c r="G187" s="97"/>
      <c r="H187" s="98"/>
      <c r="I187" s="28">
        <v>49731</v>
      </c>
    </row>
    <row r="188" spans="1:9" s="45" customFormat="1" ht="15" x14ac:dyDescent="0.2">
      <c r="A188" s="44"/>
      <c r="B188" s="44"/>
      <c r="C188" s="44"/>
      <c r="D188" s="95"/>
      <c r="E188" s="8" t="s">
        <v>140</v>
      </c>
      <c r="F188" s="20"/>
      <c r="G188" s="99"/>
      <c r="H188" s="100"/>
      <c r="I188" s="29">
        <v>49731</v>
      </c>
    </row>
    <row r="189" spans="1:9" s="32" customFormat="1" ht="45" x14ac:dyDescent="0.2">
      <c r="A189" s="48"/>
      <c r="B189" s="48"/>
      <c r="C189" s="48"/>
      <c r="D189" s="63"/>
      <c r="E189" s="6" t="s">
        <v>708</v>
      </c>
      <c r="F189" s="16"/>
      <c r="G189" s="97"/>
      <c r="H189" s="98"/>
      <c r="I189" s="28">
        <v>71077</v>
      </c>
    </row>
    <row r="190" spans="1:9" s="45" customFormat="1" ht="15" x14ac:dyDescent="0.2">
      <c r="A190" s="44"/>
      <c r="B190" s="44"/>
      <c r="C190" s="44"/>
      <c r="D190" s="95"/>
      <c r="E190" s="8" t="s">
        <v>140</v>
      </c>
      <c r="F190" s="20"/>
      <c r="G190" s="99"/>
      <c r="H190" s="100"/>
      <c r="I190" s="29">
        <v>71077</v>
      </c>
    </row>
    <row r="191" spans="1:9" s="32" customFormat="1" ht="45" x14ac:dyDescent="0.2">
      <c r="A191" s="48"/>
      <c r="B191" s="48"/>
      <c r="C191" s="48"/>
      <c r="D191" s="63"/>
      <c r="E191" s="125" t="s">
        <v>72</v>
      </c>
      <c r="F191" s="16">
        <v>10000000</v>
      </c>
      <c r="G191" s="97">
        <v>99</v>
      </c>
      <c r="H191" s="98">
        <v>9900000</v>
      </c>
      <c r="I191" s="28">
        <v>100000</v>
      </c>
    </row>
    <row r="192" spans="1:9" s="32" customFormat="1" ht="45" x14ac:dyDescent="0.2">
      <c r="A192" s="48"/>
      <c r="B192" s="48"/>
      <c r="C192" s="48"/>
      <c r="D192" s="63"/>
      <c r="E192" s="6" t="s">
        <v>553</v>
      </c>
      <c r="F192" s="16">
        <v>1499118</v>
      </c>
      <c r="G192" s="97">
        <v>54.309800829554447</v>
      </c>
      <c r="H192" s="98">
        <v>814168</v>
      </c>
      <c r="I192" s="28">
        <v>684950</v>
      </c>
    </row>
    <row r="193" spans="1:9" s="32" customFormat="1" ht="15" x14ac:dyDescent="0.2">
      <c r="A193" s="48"/>
      <c r="B193" s="48"/>
      <c r="C193" s="48"/>
      <c r="D193" s="63"/>
      <c r="E193" s="56" t="s">
        <v>311</v>
      </c>
      <c r="F193" s="16"/>
      <c r="G193" s="97"/>
      <c r="H193" s="98"/>
      <c r="I193" s="28"/>
    </row>
    <row r="194" spans="1:9" s="32" customFormat="1" ht="32.25" customHeight="1" x14ac:dyDescent="0.2">
      <c r="A194" s="48"/>
      <c r="B194" s="48"/>
      <c r="C194" s="48"/>
      <c r="D194" s="63"/>
      <c r="E194" s="6" t="s">
        <v>554</v>
      </c>
      <c r="F194" s="16">
        <v>1495297</v>
      </c>
      <c r="G194" s="97"/>
      <c r="H194" s="98"/>
      <c r="I194" s="28">
        <v>21234</v>
      </c>
    </row>
    <row r="195" spans="1:9" s="45" customFormat="1" ht="15" x14ac:dyDescent="0.2">
      <c r="A195" s="44"/>
      <c r="B195" s="44"/>
      <c r="C195" s="44"/>
      <c r="D195" s="95"/>
      <c r="E195" s="8" t="s">
        <v>140</v>
      </c>
      <c r="F195" s="20"/>
      <c r="G195" s="99"/>
      <c r="H195" s="100"/>
      <c r="I195" s="29">
        <v>13128</v>
      </c>
    </row>
    <row r="196" spans="1:9" s="32" customFormat="1" ht="18" customHeight="1" x14ac:dyDescent="0.2">
      <c r="A196" s="48"/>
      <c r="B196" s="48"/>
      <c r="C196" s="48"/>
      <c r="D196" s="63"/>
      <c r="E196" s="77" t="s">
        <v>396</v>
      </c>
      <c r="F196" s="16"/>
      <c r="G196" s="97"/>
      <c r="H196" s="98"/>
      <c r="I196" s="28"/>
    </row>
    <row r="197" spans="1:9" s="32" customFormat="1" ht="32.25" customHeight="1" x14ac:dyDescent="0.2">
      <c r="A197" s="48"/>
      <c r="B197" s="48"/>
      <c r="C197" s="48"/>
      <c r="D197" s="63"/>
      <c r="E197" s="6" t="s">
        <v>247</v>
      </c>
      <c r="F197" s="16"/>
      <c r="G197" s="97"/>
      <c r="H197" s="98"/>
      <c r="I197" s="28">
        <v>170644</v>
      </c>
    </row>
    <row r="198" spans="1:9" s="45" customFormat="1" ht="15" x14ac:dyDescent="0.2">
      <c r="A198" s="44"/>
      <c r="B198" s="44"/>
      <c r="C198" s="44"/>
      <c r="D198" s="95"/>
      <c r="E198" s="8" t="s">
        <v>140</v>
      </c>
      <c r="F198" s="20"/>
      <c r="G198" s="99"/>
      <c r="H198" s="100"/>
      <c r="I198" s="29">
        <v>170644</v>
      </c>
    </row>
    <row r="199" spans="1:9" s="32" customFormat="1" ht="45" x14ac:dyDescent="0.2">
      <c r="A199" s="48"/>
      <c r="B199" s="48"/>
      <c r="C199" s="48"/>
      <c r="D199" s="63"/>
      <c r="E199" s="6" t="s">
        <v>330</v>
      </c>
      <c r="F199" s="16"/>
      <c r="G199" s="97"/>
      <c r="H199" s="98"/>
      <c r="I199" s="28">
        <f>437681+8469</f>
        <v>446150</v>
      </c>
    </row>
    <row r="200" spans="1:9" s="45" customFormat="1" ht="15" x14ac:dyDescent="0.2">
      <c r="A200" s="44"/>
      <c r="B200" s="44"/>
      <c r="C200" s="44"/>
      <c r="D200" s="95"/>
      <c r="E200" s="8" t="s">
        <v>140</v>
      </c>
      <c r="F200" s="20"/>
      <c r="G200" s="99"/>
      <c r="H200" s="100"/>
      <c r="I200" s="29">
        <v>437681</v>
      </c>
    </row>
    <row r="201" spans="1:9" s="45" customFormat="1" ht="45" x14ac:dyDescent="0.2">
      <c r="A201" s="44"/>
      <c r="B201" s="44"/>
      <c r="C201" s="44"/>
      <c r="D201" s="95"/>
      <c r="E201" s="6" t="s">
        <v>709</v>
      </c>
      <c r="F201" s="16">
        <v>4791047</v>
      </c>
      <c r="G201" s="97">
        <v>6.6255872672507694</v>
      </c>
      <c r="H201" s="98">
        <v>317435</v>
      </c>
      <c r="I201" s="28">
        <v>4473612</v>
      </c>
    </row>
    <row r="202" spans="1:9" s="32" customFormat="1" ht="15" x14ac:dyDescent="0.2">
      <c r="A202" s="48"/>
      <c r="B202" s="48"/>
      <c r="C202" s="48"/>
      <c r="D202" s="63"/>
      <c r="E202" s="77" t="s">
        <v>397</v>
      </c>
      <c r="F202" s="16"/>
      <c r="G202" s="97"/>
      <c r="H202" s="98"/>
      <c r="I202" s="28"/>
    </row>
    <row r="203" spans="1:9" s="32" customFormat="1" ht="32.25" customHeight="1" x14ac:dyDescent="0.2">
      <c r="A203" s="48"/>
      <c r="B203" s="48"/>
      <c r="C203" s="48"/>
      <c r="D203" s="63"/>
      <c r="E203" s="6" t="s">
        <v>555</v>
      </c>
      <c r="F203" s="16"/>
      <c r="G203" s="97"/>
      <c r="H203" s="98"/>
      <c r="I203" s="28">
        <f>165708+8469</f>
        <v>174177</v>
      </c>
    </row>
    <row r="204" spans="1:9" s="45" customFormat="1" ht="15" x14ac:dyDescent="0.2">
      <c r="A204" s="44"/>
      <c r="B204" s="44"/>
      <c r="C204" s="44"/>
      <c r="D204" s="95"/>
      <c r="E204" s="8" t="s">
        <v>140</v>
      </c>
      <c r="F204" s="20"/>
      <c r="G204" s="99"/>
      <c r="H204" s="100"/>
      <c r="I204" s="29">
        <v>165708</v>
      </c>
    </row>
    <row r="205" spans="1:9" s="32" customFormat="1" ht="15" x14ac:dyDescent="0.2">
      <c r="A205" s="48"/>
      <c r="B205" s="48"/>
      <c r="C205" s="48"/>
      <c r="D205" s="63"/>
      <c r="E205" s="77" t="s">
        <v>331</v>
      </c>
      <c r="F205" s="16"/>
      <c r="G205" s="97"/>
      <c r="H205" s="98"/>
      <c r="I205" s="28"/>
    </row>
    <row r="206" spans="1:9" s="32" customFormat="1" ht="60" x14ac:dyDescent="0.2">
      <c r="A206" s="48"/>
      <c r="B206" s="48"/>
      <c r="C206" s="48"/>
      <c r="D206" s="63"/>
      <c r="E206" s="6" t="s">
        <v>710</v>
      </c>
      <c r="F206" s="16">
        <v>916922</v>
      </c>
      <c r="G206" s="97"/>
      <c r="H206" s="98"/>
      <c r="I206" s="28">
        <f>20447+435000</f>
        <v>455447</v>
      </c>
    </row>
    <row r="207" spans="1:9" s="45" customFormat="1" ht="15" x14ac:dyDescent="0.2">
      <c r="A207" s="44"/>
      <c r="B207" s="44"/>
      <c r="C207" s="44"/>
      <c r="D207" s="95"/>
      <c r="E207" s="8" t="s">
        <v>140</v>
      </c>
      <c r="F207" s="20"/>
      <c r="G207" s="99"/>
      <c r="H207" s="100"/>
      <c r="I207" s="29">
        <v>20447</v>
      </c>
    </row>
    <row r="208" spans="1:9" s="32" customFormat="1" ht="75" x14ac:dyDescent="0.2">
      <c r="A208" s="48"/>
      <c r="B208" s="48"/>
      <c r="C208" s="48"/>
      <c r="D208" s="63"/>
      <c r="E208" s="6" t="s">
        <v>784</v>
      </c>
      <c r="F208" s="16"/>
      <c r="G208" s="97"/>
      <c r="H208" s="98"/>
      <c r="I208" s="28">
        <v>63635</v>
      </c>
    </row>
    <row r="209" spans="1:9" s="45" customFormat="1" ht="15" x14ac:dyDescent="0.2">
      <c r="A209" s="44"/>
      <c r="B209" s="44"/>
      <c r="C209" s="44"/>
      <c r="D209" s="95"/>
      <c r="E209" s="8" t="s">
        <v>140</v>
      </c>
      <c r="F209" s="20"/>
      <c r="G209" s="99"/>
      <c r="H209" s="100"/>
      <c r="I209" s="29">
        <v>63635</v>
      </c>
    </row>
    <row r="210" spans="1:9" s="32" customFormat="1" ht="15" x14ac:dyDescent="0.2">
      <c r="A210" s="48"/>
      <c r="B210" s="48"/>
      <c r="C210" s="48"/>
      <c r="D210" s="63"/>
      <c r="E210" s="77" t="s">
        <v>312</v>
      </c>
      <c r="F210" s="16"/>
      <c r="G210" s="97"/>
      <c r="H210" s="98"/>
      <c r="I210" s="28"/>
    </row>
    <row r="211" spans="1:9" s="32" customFormat="1" ht="45" x14ac:dyDescent="0.2">
      <c r="A211" s="48"/>
      <c r="B211" s="48"/>
      <c r="C211" s="48"/>
      <c r="D211" s="63"/>
      <c r="E211" s="6" t="s">
        <v>787</v>
      </c>
      <c r="F211" s="16">
        <v>146435500</v>
      </c>
      <c r="G211" s="97">
        <v>100</v>
      </c>
      <c r="H211" s="98">
        <v>146385500</v>
      </c>
      <c r="I211" s="28">
        <v>50000</v>
      </c>
    </row>
    <row r="212" spans="1:9" s="32" customFormat="1" ht="15" x14ac:dyDescent="0.2">
      <c r="A212" s="48"/>
      <c r="B212" s="48"/>
      <c r="C212" s="48"/>
      <c r="D212" s="63"/>
      <c r="E212" s="77" t="s">
        <v>293</v>
      </c>
      <c r="F212" s="16"/>
      <c r="G212" s="97"/>
      <c r="H212" s="98"/>
      <c r="I212" s="28"/>
    </row>
    <row r="213" spans="1:9" s="32" customFormat="1" ht="60" x14ac:dyDescent="0.2">
      <c r="A213" s="48"/>
      <c r="B213" s="48"/>
      <c r="C213" s="48"/>
      <c r="D213" s="63"/>
      <c r="E213" s="6" t="s">
        <v>711</v>
      </c>
      <c r="F213" s="16"/>
      <c r="G213" s="97"/>
      <c r="H213" s="98"/>
      <c r="I213" s="28">
        <v>59194</v>
      </c>
    </row>
    <row r="214" spans="1:9" s="45" customFormat="1" ht="15" x14ac:dyDescent="0.2">
      <c r="A214" s="44"/>
      <c r="B214" s="44"/>
      <c r="C214" s="44"/>
      <c r="D214" s="95"/>
      <c r="E214" s="8" t="s">
        <v>140</v>
      </c>
      <c r="F214" s="20"/>
      <c r="G214" s="99"/>
      <c r="H214" s="100"/>
      <c r="I214" s="29">
        <v>59194</v>
      </c>
    </row>
    <row r="215" spans="1:9" s="45" customFormat="1" ht="15" x14ac:dyDescent="0.2">
      <c r="A215" s="44"/>
      <c r="B215" s="44"/>
      <c r="C215" s="44"/>
      <c r="D215" s="95"/>
      <c r="E215" s="77" t="s">
        <v>679</v>
      </c>
      <c r="F215" s="20"/>
      <c r="G215" s="99"/>
      <c r="H215" s="100"/>
      <c r="I215" s="29"/>
    </row>
    <row r="216" spans="1:9" s="45" customFormat="1" ht="30" x14ac:dyDescent="0.2">
      <c r="A216" s="44"/>
      <c r="B216" s="44"/>
      <c r="C216" s="44"/>
      <c r="D216" s="95"/>
      <c r="E216" s="6" t="s">
        <v>712</v>
      </c>
      <c r="F216" s="20"/>
      <c r="G216" s="99"/>
      <c r="H216" s="100"/>
      <c r="I216" s="28">
        <v>502961</v>
      </c>
    </row>
    <row r="217" spans="1:9" s="45" customFormat="1" ht="15" x14ac:dyDescent="0.2">
      <c r="A217" s="44"/>
      <c r="B217" s="44"/>
      <c r="C217" s="44"/>
      <c r="D217" s="95"/>
      <c r="E217" s="8" t="s">
        <v>198</v>
      </c>
      <c r="F217" s="20"/>
      <c r="G217" s="99"/>
      <c r="H217" s="100"/>
      <c r="I217" s="29">
        <v>502961</v>
      </c>
    </row>
    <row r="218" spans="1:9" s="32" customFormat="1" ht="15" x14ac:dyDescent="0.2">
      <c r="A218" s="48"/>
      <c r="B218" s="48"/>
      <c r="C218" s="48"/>
      <c r="D218" s="63"/>
      <c r="E218" s="56" t="s">
        <v>313</v>
      </c>
      <c r="F218" s="16"/>
      <c r="G218" s="97"/>
      <c r="H218" s="98"/>
      <c r="I218" s="28"/>
    </row>
    <row r="219" spans="1:9" s="32" customFormat="1" ht="46.5" customHeight="1" x14ac:dyDescent="0.2">
      <c r="A219" s="48"/>
      <c r="B219" s="48"/>
      <c r="C219" s="48"/>
      <c r="D219" s="63"/>
      <c r="E219" s="6" t="s">
        <v>13</v>
      </c>
      <c r="F219" s="16">
        <v>8572229</v>
      </c>
      <c r="G219" s="97">
        <v>0</v>
      </c>
      <c r="H219" s="98">
        <v>229</v>
      </c>
      <c r="I219" s="28">
        <v>8572000</v>
      </c>
    </row>
    <row r="220" spans="1:9" s="32" customFormat="1" ht="15" x14ac:dyDescent="0.2">
      <c r="A220" s="48"/>
      <c r="B220" s="48"/>
      <c r="C220" s="48"/>
      <c r="D220" s="63"/>
      <c r="E220" s="56" t="s">
        <v>296</v>
      </c>
      <c r="F220" s="16"/>
      <c r="G220" s="97"/>
      <c r="H220" s="98"/>
      <c r="I220" s="28"/>
    </row>
    <row r="221" spans="1:9" s="32" customFormat="1" ht="37.5" customHeight="1" x14ac:dyDescent="0.2">
      <c r="A221" s="48"/>
      <c r="B221" s="48"/>
      <c r="C221" s="48"/>
      <c r="D221" s="63"/>
      <c r="E221" s="6" t="s">
        <v>556</v>
      </c>
      <c r="F221" s="16"/>
      <c r="G221" s="97"/>
      <c r="H221" s="98"/>
      <c r="I221" s="28">
        <v>236787</v>
      </c>
    </row>
    <row r="222" spans="1:9" s="45" customFormat="1" ht="15" x14ac:dyDescent="0.2">
      <c r="A222" s="44"/>
      <c r="B222" s="44"/>
      <c r="C222" s="44"/>
      <c r="D222" s="95"/>
      <c r="E222" s="8" t="s">
        <v>140</v>
      </c>
      <c r="F222" s="20"/>
      <c r="G222" s="99"/>
      <c r="H222" s="100"/>
      <c r="I222" s="29">
        <v>236787</v>
      </c>
    </row>
    <row r="223" spans="1:9" s="32" customFormat="1" ht="15" x14ac:dyDescent="0.2">
      <c r="A223" s="48"/>
      <c r="B223" s="48"/>
      <c r="C223" s="48"/>
      <c r="D223" s="63"/>
      <c r="E223" s="77" t="s">
        <v>440</v>
      </c>
      <c r="F223" s="16"/>
      <c r="G223" s="97"/>
      <c r="H223" s="98"/>
      <c r="I223" s="28"/>
    </row>
    <row r="224" spans="1:9" s="32" customFormat="1" ht="48" customHeight="1" x14ac:dyDescent="0.2">
      <c r="A224" s="48"/>
      <c r="B224" s="48"/>
      <c r="C224" s="48"/>
      <c r="D224" s="63"/>
      <c r="E224" s="6" t="s">
        <v>557</v>
      </c>
      <c r="F224" s="16"/>
      <c r="G224" s="97"/>
      <c r="H224" s="98"/>
      <c r="I224" s="28">
        <v>14191</v>
      </c>
    </row>
    <row r="225" spans="1:9" s="45" customFormat="1" ht="18.75" customHeight="1" x14ac:dyDescent="0.2">
      <c r="A225" s="44"/>
      <c r="B225" s="44"/>
      <c r="C225" s="44"/>
      <c r="D225" s="95"/>
      <c r="E225" s="8" t="s">
        <v>140</v>
      </c>
      <c r="F225" s="20"/>
      <c r="G225" s="38"/>
      <c r="H225" s="20"/>
      <c r="I225" s="29">
        <v>14191</v>
      </c>
    </row>
    <row r="226" spans="1:9" s="32" customFormat="1" ht="29.25" customHeight="1" x14ac:dyDescent="0.2">
      <c r="A226" s="48" t="s">
        <v>197</v>
      </c>
      <c r="B226" s="48" t="s">
        <v>279</v>
      </c>
      <c r="C226" s="48" t="s">
        <v>44</v>
      </c>
      <c r="D226" s="63" t="s">
        <v>163</v>
      </c>
      <c r="E226" s="6"/>
      <c r="F226" s="16"/>
      <c r="G226" s="39"/>
      <c r="H226" s="16"/>
      <c r="I226" s="28">
        <f>I227</f>
        <v>2200000</v>
      </c>
    </row>
    <row r="227" spans="1:9" s="32" customFormat="1" ht="30" x14ac:dyDescent="0.2">
      <c r="A227" s="48"/>
      <c r="B227" s="48"/>
      <c r="C227" s="48"/>
      <c r="D227" s="63"/>
      <c r="E227" s="6" t="s">
        <v>558</v>
      </c>
      <c r="F227" s="16">
        <v>4804178</v>
      </c>
      <c r="G227" s="39">
        <v>54.206526069600244</v>
      </c>
      <c r="H227" s="16">
        <v>2604178</v>
      </c>
      <c r="I227" s="28">
        <v>2200000</v>
      </c>
    </row>
    <row r="228" spans="1:9" s="32" customFormat="1" ht="18.75" customHeight="1" x14ac:dyDescent="0.2">
      <c r="A228" s="48" t="s">
        <v>111</v>
      </c>
      <c r="B228" s="48" t="s">
        <v>380</v>
      </c>
      <c r="C228" s="48"/>
      <c r="D228" s="63" t="s">
        <v>112</v>
      </c>
      <c r="E228" s="6"/>
      <c r="F228" s="16"/>
      <c r="G228" s="39"/>
      <c r="H228" s="16"/>
      <c r="I228" s="28">
        <f>I229+I236+I282+I275</f>
        <v>196226812</v>
      </c>
    </row>
    <row r="229" spans="1:9" s="45" customFormat="1" ht="55.5" customHeight="1" x14ac:dyDescent="0.2">
      <c r="A229" s="44" t="s">
        <v>113</v>
      </c>
      <c r="B229" s="44" t="s">
        <v>114</v>
      </c>
      <c r="C229" s="44" t="s">
        <v>358</v>
      </c>
      <c r="D229" s="95" t="s">
        <v>115</v>
      </c>
      <c r="E229" s="8"/>
      <c r="F229" s="20"/>
      <c r="G229" s="38"/>
      <c r="H229" s="20"/>
      <c r="I229" s="29">
        <f>I231+I233+I235</f>
        <v>20814612</v>
      </c>
    </row>
    <row r="230" spans="1:9" s="32" customFormat="1" ht="15" x14ac:dyDescent="0.2">
      <c r="A230" s="48"/>
      <c r="B230" s="48"/>
      <c r="C230" s="48"/>
      <c r="D230" s="63"/>
      <c r="E230" s="56" t="s">
        <v>104</v>
      </c>
      <c r="F230" s="16"/>
      <c r="G230" s="97"/>
      <c r="H230" s="98"/>
      <c r="I230" s="28"/>
    </row>
    <row r="231" spans="1:9" s="32" customFormat="1" ht="30" x14ac:dyDescent="0.2">
      <c r="A231" s="48"/>
      <c r="B231" s="48"/>
      <c r="C231" s="48"/>
      <c r="D231" s="63"/>
      <c r="E231" s="6" t="s">
        <v>141</v>
      </c>
      <c r="F231" s="16">
        <v>112295244</v>
      </c>
      <c r="G231" s="97">
        <v>71</v>
      </c>
      <c r="H231" s="98">
        <v>79698871</v>
      </c>
      <c r="I231" s="28">
        <v>10000000</v>
      </c>
    </row>
    <row r="232" spans="1:9" s="32" customFormat="1" ht="15" x14ac:dyDescent="0.2">
      <c r="A232" s="48"/>
      <c r="B232" s="48"/>
      <c r="C232" s="48"/>
      <c r="D232" s="63"/>
      <c r="E232" s="56" t="s">
        <v>105</v>
      </c>
      <c r="F232" s="16"/>
      <c r="G232" s="97"/>
      <c r="H232" s="98"/>
      <c r="I232" s="28"/>
    </row>
    <row r="233" spans="1:9" s="32" customFormat="1" ht="30" x14ac:dyDescent="0.2">
      <c r="A233" s="48"/>
      <c r="B233" s="48"/>
      <c r="C233" s="48"/>
      <c r="D233" s="63"/>
      <c r="E233" s="6" t="s">
        <v>559</v>
      </c>
      <c r="F233" s="16">
        <v>85125567</v>
      </c>
      <c r="G233" s="97">
        <v>1.7</v>
      </c>
      <c r="H233" s="98">
        <v>1434213</v>
      </c>
      <c r="I233" s="28">
        <v>4947606</v>
      </c>
    </row>
    <row r="234" spans="1:9" s="32" customFormat="1" ht="15" x14ac:dyDescent="0.2">
      <c r="A234" s="48"/>
      <c r="B234" s="48"/>
      <c r="C234" s="48"/>
      <c r="D234" s="63"/>
      <c r="E234" s="77" t="s">
        <v>396</v>
      </c>
      <c r="F234" s="16"/>
      <c r="G234" s="97"/>
      <c r="H234" s="98"/>
      <c r="I234" s="28"/>
    </row>
    <row r="235" spans="1:9" s="32" customFormat="1" ht="45" x14ac:dyDescent="0.2">
      <c r="A235" s="48"/>
      <c r="B235" s="48"/>
      <c r="C235" s="48"/>
      <c r="D235" s="63"/>
      <c r="E235" s="6" t="s">
        <v>713</v>
      </c>
      <c r="F235" s="16">
        <v>87636857</v>
      </c>
      <c r="G235" s="97">
        <v>93.3</v>
      </c>
      <c r="H235" s="98">
        <v>81769851</v>
      </c>
      <c r="I235" s="28">
        <f>3200006+2667000</f>
        <v>5867006</v>
      </c>
    </row>
    <row r="236" spans="1:9" s="60" customFormat="1" ht="48" customHeight="1" x14ac:dyDescent="0.2">
      <c r="A236" s="44" t="s">
        <v>116</v>
      </c>
      <c r="B236" s="44" t="s">
        <v>117</v>
      </c>
      <c r="C236" s="44" t="s">
        <v>358</v>
      </c>
      <c r="D236" s="95" t="s">
        <v>118</v>
      </c>
      <c r="E236" s="63"/>
      <c r="F236" s="90"/>
      <c r="G236" s="91"/>
      <c r="H236" s="92"/>
      <c r="I236" s="28">
        <f>I237+I243+I246+I249+I252+I254+I257+I263+I266+I271+I273+I260+I268+I241</f>
        <v>158296662</v>
      </c>
    </row>
    <row r="237" spans="1:9" s="60" customFormat="1" ht="20.25" customHeight="1" x14ac:dyDescent="0.2">
      <c r="A237" s="44"/>
      <c r="B237" s="44"/>
      <c r="C237" s="44"/>
      <c r="D237" s="95"/>
      <c r="E237" s="63" t="s">
        <v>292</v>
      </c>
      <c r="F237" s="90"/>
      <c r="G237" s="91"/>
      <c r="H237" s="92"/>
      <c r="I237" s="28">
        <f>66790189+29713074</f>
        <v>96503263</v>
      </c>
    </row>
    <row r="238" spans="1:9" s="60" customFormat="1" ht="15" x14ac:dyDescent="0.2">
      <c r="A238" s="44"/>
      <c r="B238" s="44"/>
      <c r="C238" s="44"/>
      <c r="D238" s="95"/>
      <c r="E238" s="8" t="s">
        <v>210</v>
      </c>
      <c r="F238" s="90"/>
      <c r="G238" s="91"/>
      <c r="H238" s="92"/>
      <c r="I238" s="29">
        <v>24323226</v>
      </c>
    </row>
    <row r="239" spans="1:9" s="60" customFormat="1" ht="15" x14ac:dyDescent="0.2">
      <c r="A239" s="44"/>
      <c r="B239" s="44"/>
      <c r="C239" s="44"/>
      <c r="D239" s="95"/>
      <c r="E239" s="8" t="s">
        <v>211</v>
      </c>
      <c r="F239" s="90"/>
      <c r="G239" s="91"/>
      <c r="H239" s="92"/>
      <c r="I239" s="29">
        <v>2958153</v>
      </c>
    </row>
    <row r="240" spans="1:9" s="80" customFormat="1" ht="15" x14ac:dyDescent="0.2">
      <c r="A240" s="44"/>
      <c r="B240" s="44"/>
      <c r="C240" s="44"/>
      <c r="D240" s="95"/>
      <c r="E240" s="56" t="s">
        <v>560</v>
      </c>
      <c r="F240" s="16"/>
      <c r="G240" s="64"/>
      <c r="H240" s="65"/>
      <c r="I240" s="28"/>
    </row>
    <row r="241" spans="1:9" s="80" customFormat="1" ht="30" x14ac:dyDescent="0.2">
      <c r="A241" s="44"/>
      <c r="B241" s="44"/>
      <c r="C241" s="44"/>
      <c r="D241" s="95"/>
      <c r="E241" s="6" t="s">
        <v>561</v>
      </c>
      <c r="F241" s="16">
        <v>85464764</v>
      </c>
      <c r="G241" s="78">
        <v>40.6</v>
      </c>
      <c r="H241" s="79">
        <v>34687899</v>
      </c>
      <c r="I241" s="28">
        <v>8500000</v>
      </c>
    </row>
    <row r="242" spans="1:9" s="80" customFormat="1" ht="15" x14ac:dyDescent="0.2">
      <c r="A242" s="44"/>
      <c r="B242" s="44"/>
      <c r="C242" s="44"/>
      <c r="D242" s="95"/>
      <c r="E242" s="56" t="s">
        <v>297</v>
      </c>
      <c r="F242" s="16"/>
      <c r="G242" s="64"/>
      <c r="H242" s="65"/>
      <c r="I242" s="28"/>
    </row>
    <row r="243" spans="1:9" s="80" customFormat="1" ht="60" x14ac:dyDescent="0.2">
      <c r="A243" s="44"/>
      <c r="B243" s="44"/>
      <c r="C243" s="44"/>
      <c r="D243" s="95"/>
      <c r="E243" s="6" t="s">
        <v>785</v>
      </c>
      <c r="F243" s="16">
        <v>12124166</v>
      </c>
      <c r="G243" s="78">
        <v>12.4</v>
      </c>
      <c r="H243" s="79">
        <v>1500336</v>
      </c>
      <c r="I243" s="28">
        <f>646753+48247</f>
        <v>695000</v>
      </c>
    </row>
    <row r="244" spans="1:9" s="36" customFormat="1" ht="15" x14ac:dyDescent="0.2">
      <c r="A244" s="44"/>
      <c r="B244" s="44"/>
      <c r="C244" s="44"/>
      <c r="D244" s="95"/>
      <c r="E244" s="8" t="s">
        <v>210</v>
      </c>
      <c r="F244" s="20"/>
      <c r="G244" s="61"/>
      <c r="H244" s="62"/>
      <c r="I244" s="29">
        <f>646753+48247</f>
        <v>695000</v>
      </c>
    </row>
    <row r="245" spans="1:9" s="80" customFormat="1" ht="15" x14ac:dyDescent="0.2">
      <c r="A245" s="44"/>
      <c r="B245" s="44"/>
      <c r="C245" s="44"/>
      <c r="D245" s="95"/>
      <c r="E245" s="56" t="s">
        <v>149</v>
      </c>
      <c r="F245" s="16"/>
      <c r="G245" s="64"/>
      <c r="H245" s="65"/>
      <c r="I245" s="28">
        <v>0</v>
      </c>
    </row>
    <row r="246" spans="1:9" s="80" customFormat="1" ht="30" x14ac:dyDescent="0.2">
      <c r="A246" s="44"/>
      <c r="B246" s="44"/>
      <c r="C246" s="44"/>
      <c r="D246" s="95"/>
      <c r="E246" s="6" t="s">
        <v>562</v>
      </c>
      <c r="F246" s="16">
        <v>6940177</v>
      </c>
      <c r="G246" s="78">
        <v>0</v>
      </c>
      <c r="H246" s="79">
        <v>0</v>
      </c>
      <c r="I246" s="28">
        <v>5744000</v>
      </c>
    </row>
    <row r="247" spans="1:9" s="36" customFormat="1" ht="15" x14ac:dyDescent="0.2">
      <c r="A247" s="44"/>
      <c r="B247" s="44"/>
      <c r="C247" s="44"/>
      <c r="D247" s="95"/>
      <c r="E247" s="8" t="s">
        <v>210</v>
      </c>
      <c r="F247" s="20"/>
      <c r="G247" s="61"/>
      <c r="H247" s="62"/>
      <c r="I247" s="29">
        <v>3000000</v>
      </c>
    </row>
    <row r="248" spans="1:9" s="80" customFormat="1" ht="15" x14ac:dyDescent="0.2">
      <c r="A248" s="44"/>
      <c r="B248" s="44"/>
      <c r="C248" s="44"/>
      <c r="D248" s="95"/>
      <c r="E248" s="56" t="s">
        <v>310</v>
      </c>
      <c r="F248" s="16"/>
      <c r="G248" s="64"/>
      <c r="H248" s="65"/>
      <c r="I248" s="28">
        <v>0</v>
      </c>
    </row>
    <row r="249" spans="1:9" s="80" customFormat="1" ht="60" x14ac:dyDescent="0.2">
      <c r="A249" s="44"/>
      <c r="B249" s="44"/>
      <c r="C249" s="44"/>
      <c r="D249" s="95"/>
      <c r="E249" s="6" t="s">
        <v>714</v>
      </c>
      <c r="F249" s="16">
        <v>28909646</v>
      </c>
      <c r="G249" s="78">
        <v>1.3</v>
      </c>
      <c r="H249" s="79">
        <v>366397</v>
      </c>
      <c r="I249" s="28">
        <f>4499990+1086370</f>
        <v>5586360</v>
      </c>
    </row>
    <row r="250" spans="1:9" s="36" customFormat="1" ht="15" x14ac:dyDescent="0.2">
      <c r="A250" s="44"/>
      <c r="B250" s="44"/>
      <c r="C250" s="44"/>
      <c r="D250" s="95"/>
      <c r="E250" s="8" t="s">
        <v>210</v>
      </c>
      <c r="F250" s="20"/>
      <c r="G250" s="61"/>
      <c r="H250" s="62"/>
      <c r="I250" s="29">
        <v>1425513</v>
      </c>
    </row>
    <row r="251" spans="1:9" s="80" customFormat="1" ht="15" x14ac:dyDescent="0.2">
      <c r="A251" s="44"/>
      <c r="B251" s="44"/>
      <c r="C251" s="44"/>
      <c r="D251" s="95"/>
      <c r="E251" s="56" t="s">
        <v>311</v>
      </c>
      <c r="F251" s="16"/>
      <c r="G251" s="64"/>
      <c r="H251" s="65"/>
      <c r="I251" s="28">
        <v>0</v>
      </c>
    </row>
    <row r="252" spans="1:9" s="80" customFormat="1" ht="30" x14ac:dyDescent="0.2">
      <c r="A252" s="44"/>
      <c r="B252" s="44"/>
      <c r="C252" s="44"/>
      <c r="D252" s="95"/>
      <c r="E252" s="6" t="s">
        <v>715</v>
      </c>
      <c r="F252" s="16">
        <v>13724116</v>
      </c>
      <c r="G252" s="78">
        <v>10.1</v>
      </c>
      <c r="H252" s="79">
        <v>1390190</v>
      </c>
      <c r="I252" s="28">
        <v>2433343</v>
      </c>
    </row>
    <row r="253" spans="1:9" s="36" customFormat="1" ht="15" x14ac:dyDescent="0.2">
      <c r="A253" s="44"/>
      <c r="B253" s="44"/>
      <c r="C253" s="44"/>
      <c r="D253" s="95"/>
      <c r="E253" s="8" t="s">
        <v>210</v>
      </c>
      <c r="F253" s="20"/>
      <c r="G253" s="61"/>
      <c r="H253" s="62"/>
      <c r="I253" s="29">
        <v>1216443</v>
      </c>
    </row>
    <row r="254" spans="1:9" s="80" customFormat="1" ht="30" x14ac:dyDescent="0.2">
      <c r="A254" s="44"/>
      <c r="B254" s="44"/>
      <c r="C254" s="44"/>
      <c r="D254" s="95"/>
      <c r="E254" s="6" t="s">
        <v>716</v>
      </c>
      <c r="F254" s="16">
        <v>11205930</v>
      </c>
      <c r="G254" s="78">
        <v>2</v>
      </c>
      <c r="H254" s="79">
        <v>225946</v>
      </c>
      <c r="I254" s="28">
        <f>1999459-32000</f>
        <v>1967459</v>
      </c>
    </row>
    <row r="255" spans="1:9" s="36" customFormat="1" ht="15" x14ac:dyDescent="0.2">
      <c r="A255" s="44"/>
      <c r="B255" s="44"/>
      <c r="C255" s="44"/>
      <c r="D255" s="95"/>
      <c r="E255" s="8" t="s">
        <v>210</v>
      </c>
      <c r="F255" s="20"/>
      <c r="G255" s="61"/>
      <c r="H255" s="62"/>
      <c r="I255" s="29">
        <v>247445</v>
      </c>
    </row>
    <row r="256" spans="1:9" s="80" customFormat="1" ht="15" x14ac:dyDescent="0.2">
      <c r="A256" s="44"/>
      <c r="B256" s="44"/>
      <c r="C256" s="44"/>
      <c r="D256" s="95"/>
      <c r="E256" s="56" t="s">
        <v>175</v>
      </c>
      <c r="F256" s="16"/>
      <c r="G256" s="64"/>
      <c r="H256" s="65"/>
      <c r="I256" s="28">
        <v>0</v>
      </c>
    </row>
    <row r="257" spans="1:9" s="80" customFormat="1" ht="45" x14ac:dyDescent="0.2">
      <c r="A257" s="44"/>
      <c r="B257" s="44"/>
      <c r="C257" s="44"/>
      <c r="D257" s="95"/>
      <c r="E257" s="6" t="s">
        <v>717</v>
      </c>
      <c r="F257" s="16">
        <v>30997704</v>
      </c>
      <c r="G257" s="78">
        <v>0.3</v>
      </c>
      <c r="H257" s="79">
        <v>80185</v>
      </c>
      <c r="I257" s="28">
        <v>7899999</v>
      </c>
    </row>
    <row r="258" spans="1:9" s="36" customFormat="1" ht="15" x14ac:dyDescent="0.2">
      <c r="A258" s="44"/>
      <c r="B258" s="44"/>
      <c r="C258" s="44"/>
      <c r="D258" s="95"/>
      <c r="E258" s="8" t="s">
        <v>210</v>
      </c>
      <c r="F258" s="20"/>
      <c r="G258" s="61"/>
      <c r="H258" s="62"/>
      <c r="I258" s="29">
        <v>6714102</v>
      </c>
    </row>
    <row r="259" spans="1:9" s="36" customFormat="1" ht="15" x14ac:dyDescent="0.2">
      <c r="A259" s="44"/>
      <c r="B259" s="44"/>
      <c r="C259" s="44"/>
      <c r="D259" s="95"/>
      <c r="E259" s="77" t="s">
        <v>312</v>
      </c>
      <c r="F259" s="20"/>
      <c r="G259" s="61"/>
      <c r="H259" s="62"/>
      <c r="I259" s="29"/>
    </row>
    <row r="260" spans="1:9" s="80" customFormat="1" ht="30" x14ac:dyDescent="0.2">
      <c r="A260" s="48"/>
      <c r="B260" s="48"/>
      <c r="C260" s="48"/>
      <c r="D260" s="63"/>
      <c r="E260" s="6" t="s">
        <v>199</v>
      </c>
      <c r="F260" s="16">
        <v>18723619</v>
      </c>
      <c r="G260" s="64">
        <v>5.6</v>
      </c>
      <c r="H260" s="65">
        <v>1051968</v>
      </c>
      <c r="I260" s="28">
        <f>463500+32000+5771000</f>
        <v>6266500</v>
      </c>
    </row>
    <row r="261" spans="1:9" s="36" customFormat="1" ht="15" x14ac:dyDescent="0.2">
      <c r="A261" s="44"/>
      <c r="B261" s="44"/>
      <c r="C261" s="44"/>
      <c r="D261" s="95"/>
      <c r="E261" s="8" t="s">
        <v>210</v>
      </c>
      <c r="F261" s="20"/>
      <c r="G261" s="61"/>
      <c r="H261" s="62"/>
      <c r="I261" s="29">
        <v>450000</v>
      </c>
    </row>
    <row r="262" spans="1:9" s="80" customFormat="1" ht="15" x14ac:dyDescent="0.2">
      <c r="A262" s="44"/>
      <c r="B262" s="44"/>
      <c r="C262" s="44"/>
      <c r="D262" s="95"/>
      <c r="E262" s="56" t="s">
        <v>314</v>
      </c>
      <c r="F262" s="16"/>
      <c r="G262" s="64"/>
      <c r="H262" s="65"/>
      <c r="I262" s="28">
        <v>0</v>
      </c>
    </row>
    <row r="263" spans="1:9" s="80" customFormat="1" ht="75" x14ac:dyDescent="0.2">
      <c r="A263" s="44"/>
      <c r="B263" s="44"/>
      <c r="C263" s="44"/>
      <c r="D263" s="95"/>
      <c r="E263" s="6" t="s">
        <v>786</v>
      </c>
      <c r="F263" s="16">
        <v>12802937</v>
      </c>
      <c r="G263" s="78">
        <v>3.5</v>
      </c>
      <c r="H263" s="79">
        <v>442408</v>
      </c>
      <c r="I263" s="28">
        <f>1400915+4960545</f>
        <v>6361460</v>
      </c>
    </row>
    <row r="264" spans="1:9" s="36" customFormat="1" ht="15" x14ac:dyDescent="0.2">
      <c r="A264" s="44"/>
      <c r="B264" s="44"/>
      <c r="C264" s="44"/>
      <c r="D264" s="95"/>
      <c r="E264" s="8" t="s">
        <v>210</v>
      </c>
      <c r="F264" s="20"/>
      <c r="G264" s="61"/>
      <c r="H264" s="62"/>
      <c r="I264" s="29">
        <v>521915</v>
      </c>
    </row>
    <row r="265" spans="1:9" s="80" customFormat="1" ht="15" x14ac:dyDescent="0.2">
      <c r="A265" s="44"/>
      <c r="B265" s="44"/>
      <c r="C265" s="44"/>
      <c r="D265" s="95"/>
      <c r="E265" s="56" t="s">
        <v>296</v>
      </c>
      <c r="F265" s="16"/>
      <c r="G265" s="64"/>
      <c r="H265" s="65"/>
      <c r="I265" s="28">
        <v>0</v>
      </c>
    </row>
    <row r="266" spans="1:9" s="80" customFormat="1" ht="30" x14ac:dyDescent="0.2">
      <c r="A266" s="44"/>
      <c r="B266" s="44"/>
      <c r="C266" s="44"/>
      <c r="D266" s="95"/>
      <c r="E266" s="6" t="s">
        <v>563</v>
      </c>
      <c r="F266" s="16">
        <v>33708422</v>
      </c>
      <c r="G266" s="78">
        <v>0.2</v>
      </c>
      <c r="H266" s="79">
        <v>80025</v>
      </c>
      <c r="I266" s="28">
        <f>5617000+129000+200000</f>
        <v>5946000</v>
      </c>
    </row>
    <row r="267" spans="1:9" s="36" customFormat="1" ht="15" x14ac:dyDescent="0.2">
      <c r="A267" s="44"/>
      <c r="B267" s="44"/>
      <c r="C267" s="44"/>
      <c r="D267" s="95"/>
      <c r="E267" s="8" t="s">
        <v>210</v>
      </c>
      <c r="F267" s="20"/>
      <c r="G267" s="61"/>
      <c r="H267" s="62"/>
      <c r="I267" s="29">
        <f>2185160+129000</f>
        <v>2314160</v>
      </c>
    </row>
    <row r="268" spans="1:9" s="80" customFormat="1" ht="30" x14ac:dyDescent="0.2">
      <c r="A268" s="48"/>
      <c r="B268" s="48"/>
      <c r="C268" s="48"/>
      <c r="D268" s="63"/>
      <c r="E268" s="6" t="s">
        <v>564</v>
      </c>
      <c r="F268" s="16">
        <v>81320250</v>
      </c>
      <c r="G268" s="64">
        <v>70.900000000000006</v>
      </c>
      <c r="H268" s="65">
        <v>57650851</v>
      </c>
      <c r="I268" s="28">
        <f>1537023+2100000-250000-16938</f>
        <v>3370085</v>
      </c>
    </row>
    <row r="269" spans="1:9" s="36" customFormat="1" ht="15" x14ac:dyDescent="0.2">
      <c r="A269" s="44"/>
      <c r="B269" s="44"/>
      <c r="C269" s="44"/>
      <c r="D269" s="95"/>
      <c r="E269" s="8" t="s">
        <v>210</v>
      </c>
      <c r="F269" s="20"/>
      <c r="G269" s="61"/>
      <c r="H269" s="62"/>
      <c r="I269" s="29">
        <v>1463831</v>
      </c>
    </row>
    <row r="270" spans="1:9" s="80" customFormat="1" ht="15" x14ac:dyDescent="0.2">
      <c r="A270" s="44"/>
      <c r="B270" s="44"/>
      <c r="C270" s="44"/>
      <c r="D270" s="95"/>
      <c r="E270" s="56" t="s">
        <v>176</v>
      </c>
      <c r="F270" s="16"/>
      <c r="G270" s="64"/>
      <c r="H270" s="65"/>
      <c r="I270" s="28">
        <v>0</v>
      </c>
    </row>
    <row r="271" spans="1:9" s="80" customFormat="1" ht="45" x14ac:dyDescent="0.2">
      <c r="A271" s="44"/>
      <c r="B271" s="44"/>
      <c r="C271" s="44"/>
      <c r="D271" s="95"/>
      <c r="E271" s="6" t="s">
        <v>718</v>
      </c>
      <c r="F271" s="16">
        <v>22376009</v>
      </c>
      <c r="G271" s="78">
        <v>3.6</v>
      </c>
      <c r="H271" s="79">
        <v>815890</v>
      </c>
      <c r="I271" s="28">
        <v>3000440</v>
      </c>
    </row>
    <row r="272" spans="1:9" s="36" customFormat="1" ht="15" x14ac:dyDescent="0.2">
      <c r="A272" s="44"/>
      <c r="B272" s="44"/>
      <c r="C272" s="44"/>
      <c r="D272" s="95"/>
      <c r="E272" s="8" t="s">
        <v>210</v>
      </c>
      <c r="F272" s="20"/>
      <c r="G272" s="61"/>
      <c r="H272" s="62"/>
      <c r="I272" s="29">
        <v>2160618</v>
      </c>
    </row>
    <row r="273" spans="1:9" s="80" customFormat="1" ht="49.5" customHeight="1" x14ac:dyDescent="0.2">
      <c r="A273" s="44"/>
      <c r="B273" s="44"/>
      <c r="C273" s="44"/>
      <c r="D273" s="95"/>
      <c r="E273" s="6" t="s">
        <v>401</v>
      </c>
      <c r="F273" s="16">
        <v>16890089</v>
      </c>
      <c r="G273" s="78">
        <v>1.3</v>
      </c>
      <c r="H273" s="79">
        <v>211211</v>
      </c>
      <c r="I273" s="28">
        <f>4200000-177247</f>
        <v>4022753</v>
      </c>
    </row>
    <row r="274" spans="1:9" s="36" customFormat="1" ht="15" x14ac:dyDescent="0.2">
      <c r="A274" s="44"/>
      <c r="B274" s="44"/>
      <c r="C274" s="44"/>
      <c r="D274" s="95"/>
      <c r="E274" s="8" t="s">
        <v>210</v>
      </c>
      <c r="F274" s="20"/>
      <c r="G274" s="61"/>
      <c r="H274" s="62"/>
      <c r="I274" s="29">
        <f>3233964-177247</f>
        <v>3056717</v>
      </c>
    </row>
    <row r="275" spans="1:9" s="45" customFormat="1" ht="60.75" customHeight="1" x14ac:dyDescent="0.2">
      <c r="A275" s="44" t="s">
        <v>261</v>
      </c>
      <c r="B275" s="44" t="s">
        <v>262</v>
      </c>
      <c r="C275" s="44" t="s">
        <v>358</v>
      </c>
      <c r="D275" s="95" t="s">
        <v>260</v>
      </c>
      <c r="E275" s="8"/>
      <c r="F275" s="41"/>
      <c r="G275" s="64"/>
      <c r="H275" s="65"/>
      <c r="I275" s="28">
        <f>I276+I279</f>
        <v>13752206</v>
      </c>
    </row>
    <row r="276" spans="1:9" s="45" customFormat="1" ht="15" x14ac:dyDescent="0.2">
      <c r="A276" s="44"/>
      <c r="B276" s="44"/>
      <c r="C276" s="44"/>
      <c r="D276" s="95"/>
      <c r="E276" s="6" t="s">
        <v>292</v>
      </c>
      <c r="F276" s="20"/>
      <c r="G276" s="38"/>
      <c r="H276" s="20"/>
      <c r="I276" s="28">
        <f>9091442+4500000</f>
        <v>13591442</v>
      </c>
    </row>
    <row r="277" spans="1:9" s="45" customFormat="1" ht="15" x14ac:dyDescent="0.2">
      <c r="A277" s="44"/>
      <c r="B277" s="44"/>
      <c r="C277" s="44"/>
      <c r="D277" s="95"/>
      <c r="E277" s="8" t="s">
        <v>412</v>
      </c>
      <c r="F277" s="20"/>
      <c r="G277" s="38"/>
      <c r="H277" s="20"/>
      <c r="I277" s="29">
        <v>8891442</v>
      </c>
    </row>
    <row r="278" spans="1:9" s="45" customFormat="1" ht="15" x14ac:dyDescent="0.2">
      <c r="A278" s="44"/>
      <c r="B278" s="44"/>
      <c r="C278" s="44"/>
      <c r="D278" s="95"/>
      <c r="E278" s="56" t="s">
        <v>207</v>
      </c>
      <c r="F278" s="16"/>
      <c r="G278" s="64"/>
      <c r="H278" s="65"/>
      <c r="I278" s="28"/>
    </row>
    <row r="279" spans="1:9" s="45" customFormat="1" ht="30" x14ac:dyDescent="0.2">
      <c r="A279" s="44"/>
      <c r="B279" s="44"/>
      <c r="C279" s="44"/>
      <c r="D279" s="95"/>
      <c r="E279" s="6" t="s">
        <v>565</v>
      </c>
      <c r="F279" s="16"/>
      <c r="G279" s="78"/>
      <c r="H279" s="79"/>
      <c r="I279" s="28">
        <v>160764</v>
      </c>
    </row>
    <row r="280" spans="1:9" s="45" customFormat="1" ht="15" x14ac:dyDescent="0.2">
      <c r="A280" s="44"/>
      <c r="B280" s="44"/>
      <c r="C280" s="44"/>
      <c r="D280" s="95"/>
      <c r="E280" s="59" t="s">
        <v>412</v>
      </c>
      <c r="F280" s="42"/>
      <c r="G280" s="88"/>
      <c r="H280" s="89"/>
      <c r="I280" s="29">
        <v>152658</v>
      </c>
    </row>
    <row r="281" spans="1:9" s="45" customFormat="1" ht="15" x14ac:dyDescent="0.2">
      <c r="A281" s="44"/>
      <c r="B281" s="44"/>
      <c r="C281" s="44"/>
      <c r="D281" s="95"/>
      <c r="E281" s="8" t="s">
        <v>211</v>
      </c>
      <c r="F281" s="42"/>
      <c r="G281" s="88"/>
      <c r="H281" s="89"/>
      <c r="I281" s="29">
        <v>152658</v>
      </c>
    </row>
    <row r="282" spans="1:9" s="45" customFormat="1" ht="30" x14ac:dyDescent="0.2">
      <c r="A282" s="44" t="s">
        <v>200</v>
      </c>
      <c r="B282" s="44" t="s">
        <v>159</v>
      </c>
      <c r="C282" s="44" t="s">
        <v>358</v>
      </c>
      <c r="D282" s="95" t="s">
        <v>160</v>
      </c>
      <c r="E282" s="8"/>
      <c r="F282" s="41"/>
      <c r="G282" s="64"/>
      <c r="H282" s="65"/>
      <c r="I282" s="28">
        <f>I286+I284+I291+I289</f>
        <v>3363332</v>
      </c>
    </row>
    <row r="283" spans="1:9" s="45" customFormat="1" ht="15" x14ac:dyDescent="0.2">
      <c r="A283" s="44"/>
      <c r="B283" s="44"/>
      <c r="C283" s="44"/>
      <c r="D283" s="95"/>
      <c r="E283" s="56" t="s">
        <v>207</v>
      </c>
      <c r="F283" s="87"/>
      <c r="G283" s="101"/>
      <c r="H283" s="102"/>
      <c r="I283" s="28"/>
    </row>
    <row r="284" spans="1:9" s="60" customFormat="1" ht="30" customHeight="1" x14ac:dyDescent="0.2">
      <c r="A284" s="30"/>
      <c r="B284" s="30"/>
      <c r="C284" s="30"/>
      <c r="D284" s="103"/>
      <c r="E284" s="86" t="s">
        <v>543</v>
      </c>
      <c r="F284" s="41">
        <v>233480660</v>
      </c>
      <c r="G284" s="104">
        <v>95.78851627368195</v>
      </c>
      <c r="H284" s="105">
        <v>223647660</v>
      </c>
      <c r="I284" s="106">
        <f>12000000-9500000</f>
        <v>2500000</v>
      </c>
    </row>
    <row r="285" spans="1:9" s="45" customFormat="1" ht="15" x14ac:dyDescent="0.2">
      <c r="A285" s="44"/>
      <c r="B285" s="44"/>
      <c r="C285" s="44"/>
      <c r="D285" s="95"/>
      <c r="E285" s="56" t="s">
        <v>367</v>
      </c>
      <c r="F285" s="41"/>
      <c r="G285" s="64"/>
      <c r="H285" s="65"/>
      <c r="I285" s="28"/>
    </row>
    <row r="286" spans="1:9" s="60" customFormat="1" ht="30" customHeight="1" x14ac:dyDescent="0.2">
      <c r="A286" s="30"/>
      <c r="B286" s="30"/>
      <c r="C286" s="30"/>
      <c r="D286" s="103"/>
      <c r="E286" s="6" t="s">
        <v>548</v>
      </c>
      <c r="F286" s="16">
        <v>5355882</v>
      </c>
      <c r="G286" s="104"/>
      <c r="H286" s="105"/>
      <c r="I286" s="106">
        <v>324374</v>
      </c>
    </row>
    <row r="287" spans="1:9" s="72" customFormat="1" ht="15" x14ac:dyDescent="0.25">
      <c r="A287" s="71"/>
      <c r="B287" s="71"/>
      <c r="C287" s="71"/>
      <c r="D287" s="107"/>
      <c r="E287" s="8" t="s">
        <v>212</v>
      </c>
      <c r="F287" s="20"/>
      <c r="G287" s="108"/>
      <c r="H287" s="109"/>
      <c r="I287" s="110">
        <v>324374</v>
      </c>
    </row>
    <row r="288" spans="1:9" s="32" customFormat="1" ht="15" x14ac:dyDescent="0.2">
      <c r="A288" s="48"/>
      <c r="B288" s="48"/>
      <c r="C288" s="48"/>
      <c r="D288" s="63"/>
      <c r="E288" s="56" t="s">
        <v>679</v>
      </c>
      <c r="F288" s="16"/>
      <c r="G288" s="97"/>
      <c r="H288" s="98"/>
      <c r="I288" s="28"/>
    </row>
    <row r="289" spans="1:9" s="32" customFormat="1" ht="31.5" customHeight="1" x14ac:dyDescent="0.2">
      <c r="A289" s="48"/>
      <c r="B289" s="48"/>
      <c r="C289" s="48"/>
      <c r="D289" s="63"/>
      <c r="E289" s="6" t="s">
        <v>684</v>
      </c>
      <c r="F289" s="16">
        <v>25000000</v>
      </c>
      <c r="G289" s="97">
        <v>79.7</v>
      </c>
      <c r="H289" s="98">
        <v>19928270</v>
      </c>
      <c r="I289" s="28">
        <v>438958</v>
      </c>
    </row>
    <row r="290" spans="1:9" s="45" customFormat="1" ht="15" x14ac:dyDescent="0.2">
      <c r="A290" s="44"/>
      <c r="B290" s="44"/>
      <c r="C290" s="44"/>
      <c r="D290" s="95"/>
      <c r="E290" s="56" t="s">
        <v>335</v>
      </c>
      <c r="F290" s="87"/>
      <c r="G290" s="101"/>
      <c r="H290" s="102"/>
      <c r="I290" s="28"/>
    </row>
    <row r="291" spans="1:9" s="60" customFormat="1" ht="45" x14ac:dyDescent="0.2">
      <c r="A291" s="30"/>
      <c r="B291" s="30"/>
      <c r="C291" s="30"/>
      <c r="D291" s="103"/>
      <c r="E291" s="6" t="s">
        <v>566</v>
      </c>
      <c r="F291" s="41">
        <v>4929558</v>
      </c>
      <c r="G291" s="104">
        <v>98</v>
      </c>
      <c r="H291" s="105">
        <v>4829558</v>
      </c>
      <c r="I291" s="106">
        <v>100000</v>
      </c>
    </row>
    <row r="292" spans="1:9" s="32" customFormat="1" ht="30" x14ac:dyDescent="0.2">
      <c r="A292" s="48" t="s">
        <v>381</v>
      </c>
      <c r="B292" s="48" t="s">
        <v>382</v>
      </c>
      <c r="C292" s="48"/>
      <c r="D292" s="63" t="s">
        <v>383</v>
      </c>
      <c r="E292" s="6"/>
      <c r="F292" s="16"/>
      <c r="G292" s="39"/>
      <c r="H292" s="16"/>
      <c r="I292" s="28">
        <f>I293+I312</f>
        <v>1019931338</v>
      </c>
    </row>
    <row r="293" spans="1:9" s="45" customFormat="1" ht="49.5" customHeight="1" x14ac:dyDescent="0.2">
      <c r="A293" s="44" t="s">
        <v>384</v>
      </c>
      <c r="B293" s="44" t="s">
        <v>386</v>
      </c>
      <c r="C293" s="44" t="s">
        <v>415</v>
      </c>
      <c r="D293" s="95" t="s">
        <v>385</v>
      </c>
      <c r="E293" s="8"/>
      <c r="F293" s="20"/>
      <c r="G293" s="38"/>
      <c r="H293" s="20"/>
      <c r="I293" s="29">
        <f>I294+I302+I303+I304+I305+I306+I307+I308+I309+I299+I310+I311+I297</f>
        <v>963600338</v>
      </c>
    </row>
    <row r="294" spans="1:9" s="45" customFormat="1" ht="18.75" customHeight="1" x14ac:dyDescent="0.2">
      <c r="A294" s="44"/>
      <c r="B294" s="44"/>
      <c r="C294" s="44"/>
      <c r="D294" s="95"/>
      <c r="E294" s="6" t="s">
        <v>292</v>
      </c>
      <c r="F294" s="20"/>
      <c r="G294" s="38"/>
      <c r="H294" s="20"/>
      <c r="I294" s="28">
        <f>729510339+60623926-2200000+13700000+113406333</f>
        <v>915040598</v>
      </c>
    </row>
    <row r="295" spans="1:9" s="45" customFormat="1" ht="18.75" customHeight="1" x14ac:dyDescent="0.2">
      <c r="A295" s="44"/>
      <c r="B295" s="44"/>
      <c r="C295" s="44"/>
      <c r="D295" s="95"/>
      <c r="E295" s="8" t="s">
        <v>211</v>
      </c>
      <c r="F295" s="20"/>
      <c r="G295" s="38"/>
      <c r="H295" s="20"/>
      <c r="I295" s="29">
        <v>4780760</v>
      </c>
    </row>
    <row r="296" spans="1:9" s="32" customFormat="1" ht="18.75" customHeight="1" x14ac:dyDescent="0.2">
      <c r="A296" s="48"/>
      <c r="B296" s="48"/>
      <c r="C296" s="48"/>
      <c r="D296" s="63"/>
      <c r="E296" s="137" t="s">
        <v>104</v>
      </c>
      <c r="F296" s="69"/>
      <c r="G296" s="138"/>
      <c r="H296" s="73"/>
      <c r="I296" s="139"/>
    </row>
    <row r="297" spans="1:9" s="32" customFormat="1" ht="30" x14ac:dyDescent="0.2">
      <c r="A297" s="48"/>
      <c r="B297" s="48"/>
      <c r="C297" s="48"/>
      <c r="D297" s="63"/>
      <c r="E297" s="140" t="s">
        <v>567</v>
      </c>
      <c r="F297" s="16">
        <v>40640044</v>
      </c>
      <c r="G297" s="68">
        <v>85.2</v>
      </c>
      <c r="H297" s="69">
        <v>34640044</v>
      </c>
      <c r="I297" s="141">
        <f>29700000-10000000-13700000</f>
        <v>6000000</v>
      </c>
    </row>
    <row r="298" spans="1:9" s="45" customFormat="1" ht="15" x14ac:dyDescent="0.2">
      <c r="A298" s="44"/>
      <c r="B298" s="44"/>
      <c r="C298" s="44"/>
      <c r="D298" s="95"/>
      <c r="E298" s="56" t="s">
        <v>149</v>
      </c>
      <c r="F298" s="16"/>
      <c r="G298" s="78"/>
      <c r="H298" s="79"/>
      <c r="I298" s="111"/>
    </row>
    <row r="299" spans="1:9" s="45" customFormat="1" ht="45" x14ac:dyDescent="0.2">
      <c r="A299" s="44"/>
      <c r="B299" s="44"/>
      <c r="C299" s="44"/>
      <c r="D299" s="95"/>
      <c r="E299" s="6" t="s">
        <v>568</v>
      </c>
      <c r="F299" s="16"/>
      <c r="G299" s="97"/>
      <c r="H299" s="98"/>
      <c r="I299" s="28">
        <v>1032338</v>
      </c>
    </row>
    <row r="300" spans="1:9" s="45" customFormat="1" ht="15" x14ac:dyDescent="0.2">
      <c r="A300" s="44"/>
      <c r="B300" s="44"/>
      <c r="C300" s="44"/>
      <c r="D300" s="95"/>
      <c r="E300" s="8" t="s">
        <v>211</v>
      </c>
      <c r="F300" s="20"/>
      <c r="G300" s="99"/>
      <c r="H300" s="100"/>
      <c r="I300" s="29">
        <v>1032338</v>
      </c>
    </row>
    <row r="301" spans="1:9" s="45" customFormat="1" ht="15" x14ac:dyDescent="0.2">
      <c r="A301" s="44"/>
      <c r="B301" s="44"/>
      <c r="C301" s="44"/>
      <c r="D301" s="95"/>
      <c r="E301" s="56" t="s">
        <v>315</v>
      </c>
      <c r="F301" s="16"/>
      <c r="G301" s="97"/>
      <c r="H301" s="98"/>
      <c r="I301" s="28"/>
    </row>
    <row r="302" spans="1:9" s="45" customFormat="1" ht="90" x14ac:dyDescent="0.2">
      <c r="A302" s="44"/>
      <c r="B302" s="44"/>
      <c r="C302" s="44"/>
      <c r="D302" s="95"/>
      <c r="E302" s="6" t="s">
        <v>788</v>
      </c>
      <c r="F302" s="16">
        <v>34604115</v>
      </c>
      <c r="G302" s="97"/>
      <c r="H302" s="98"/>
      <c r="I302" s="28">
        <f>16251454-50000-1282167</f>
        <v>14919287</v>
      </c>
    </row>
    <row r="303" spans="1:9" s="45" customFormat="1" ht="90" x14ac:dyDescent="0.2">
      <c r="A303" s="44"/>
      <c r="B303" s="44"/>
      <c r="C303" s="44"/>
      <c r="D303" s="95"/>
      <c r="E303" s="6" t="s">
        <v>789</v>
      </c>
      <c r="F303" s="16">
        <v>131379674</v>
      </c>
      <c r="G303" s="97">
        <v>48.6</v>
      </c>
      <c r="H303" s="98">
        <v>63808726</v>
      </c>
      <c r="I303" s="28">
        <v>1000</v>
      </c>
    </row>
    <row r="304" spans="1:9" s="45" customFormat="1" ht="90" x14ac:dyDescent="0.2">
      <c r="A304" s="44"/>
      <c r="B304" s="44"/>
      <c r="C304" s="44"/>
      <c r="D304" s="95"/>
      <c r="E304" s="6" t="s">
        <v>790</v>
      </c>
      <c r="F304" s="16">
        <v>113988660</v>
      </c>
      <c r="G304" s="97">
        <v>64.400000000000006</v>
      </c>
      <c r="H304" s="98">
        <v>73369856</v>
      </c>
      <c r="I304" s="28">
        <f>1000+1282167</f>
        <v>1283167</v>
      </c>
    </row>
    <row r="305" spans="1:9" s="45" customFormat="1" ht="90" x14ac:dyDescent="0.2">
      <c r="A305" s="44"/>
      <c r="B305" s="44"/>
      <c r="C305" s="44"/>
      <c r="D305" s="95"/>
      <c r="E305" s="6" t="s">
        <v>719</v>
      </c>
      <c r="F305" s="16">
        <v>145681700</v>
      </c>
      <c r="G305" s="97">
        <v>46.2</v>
      </c>
      <c r="H305" s="98">
        <v>67298729</v>
      </c>
      <c r="I305" s="28">
        <f>163808+76841</f>
        <v>240649</v>
      </c>
    </row>
    <row r="306" spans="1:9" s="45" customFormat="1" ht="90" x14ac:dyDescent="0.2">
      <c r="A306" s="44"/>
      <c r="B306" s="44"/>
      <c r="C306" s="44"/>
      <c r="D306" s="95"/>
      <c r="E306" s="6" t="s">
        <v>791</v>
      </c>
      <c r="F306" s="16">
        <v>88500500</v>
      </c>
      <c r="G306" s="97">
        <v>42.6</v>
      </c>
      <c r="H306" s="98">
        <v>37659602</v>
      </c>
      <c r="I306" s="28">
        <v>1000</v>
      </c>
    </row>
    <row r="307" spans="1:9" s="45" customFormat="1" ht="90" x14ac:dyDescent="0.2">
      <c r="A307" s="44"/>
      <c r="B307" s="44"/>
      <c r="C307" s="44"/>
      <c r="D307" s="95"/>
      <c r="E307" s="6" t="s">
        <v>792</v>
      </c>
      <c r="F307" s="16">
        <v>124035900</v>
      </c>
      <c r="G307" s="97">
        <v>83.1</v>
      </c>
      <c r="H307" s="98">
        <v>103028073</v>
      </c>
      <c r="I307" s="28">
        <f>341192+97001</f>
        <v>438193</v>
      </c>
    </row>
    <row r="308" spans="1:9" s="45" customFormat="1" ht="75" x14ac:dyDescent="0.2">
      <c r="A308" s="44"/>
      <c r="B308" s="44"/>
      <c r="C308" s="44"/>
      <c r="D308" s="95"/>
      <c r="E308" s="6" t="s">
        <v>720</v>
      </c>
      <c r="F308" s="16">
        <v>62320799</v>
      </c>
      <c r="G308" s="97"/>
      <c r="H308" s="98"/>
      <c r="I308" s="28">
        <v>23387948</v>
      </c>
    </row>
    <row r="309" spans="1:9" s="45" customFormat="1" ht="90" x14ac:dyDescent="0.2">
      <c r="A309" s="44"/>
      <c r="B309" s="44"/>
      <c r="C309" s="44"/>
      <c r="D309" s="95"/>
      <c r="E309" s="6" t="s">
        <v>721</v>
      </c>
      <c r="F309" s="16">
        <v>11259093</v>
      </c>
      <c r="G309" s="97">
        <v>50.7</v>
      </c>
      <c r="H309" s="98">
        <v>5709757</v>
      </c>
      <c r="I309" s="28">
        <f>30000-11757</f>
        <v>18243</v>
      </c>
    </row>
    <row r="310" spans="1:9" s="45" customFormat="1" ht="75" x14ac:dyDescent="0.2">
      <c r="A310" s="44"/>
      <c r="B310" s="44"/>
      <c r="C310" s="44"/>
      <c r="D310" s="95"/>
      <c r="E310" s="6" t="s">
        <v>686</v>
      </c>
      <c r="F310" s="16">
        <v>41340433</v>
      </c>
      <c r="G310" s="97">
        <v>46.5</v>
      </c>
      <c r="H310" s="98">
        <v>19211915</v>
      </c>
      <c r="I310" s="28">
        <f>100000+185915</f>
        <v>285915</v>
      </c>
    </row>
    <row r="311" spans="1:9" s="45" customFormat="1" ht="60" x14ac:dyDescent="0.2">
      <c r="A311" s="44"/>
      <c r="B311" s="44"/>
      <c r="C311" s="44"/>
      <c r="D311" s="95"/>
      <c r="E311" s="6" t="s">
        <v>793</v>
      </c>
      <c r="F311" s="16">
        <v>80062331</v>
      </c>
      <c r="G311" s="97">
        <v>43.2</v>
      </c>
      <c r="H311" s="98">
        <v>34583793</v>
      </c>
      <c r="I311" s="28">
        <f>100000+852000</f>
        <v>952000</v>
      </c>
    </row>
    <row r="312" spans="1:9" s="45" customFormat="1" ht="49.5" customHeight="1" x14ac:dyDescent="0.2">
      <c r="A312" s="44" t="s">
        <v>142</v>
      </c>
      <c r="B312" s="44" t="s">
        <v>143</v>
      </c>
      <c r="C312" s="44" t="s">
        <v>415</v>
      </c>
      <c r="D312" s="95" t="s">
        <v>223</v>
      </c>
      <c r="E312" s="8" t="s">
        <v>292</v>
      </c>
      <c r="F312" s="20"/>
      <c r="G312" s="61"/>
      <c r="H312" s="62"/>
      <c r="I312" s="29">
        <f>32727000+300000+1500000+5600000+16500000+704000-1000000</f>
        <v>56331000</v>
      </c>
    </row>
    <row r="313" spans="1:9" s="32" customFormat="1" ht="19.149999999999999" customHeight="1" x14ac:dyDescent="0.2">
      <c r="A313" s="48" t="s">
        <v>316</v>
      </c>
      <c r="B313" s="48" t="s">
        <v>317</v>
      </c>
      <c r="C313" s="48" t="s">
        <v>318</v>
      </c>
      <c r="D313" s="63" t="s">
        <v>319</v>
      </c>
      <c r="E313" s="6"/>
      <c r="F313" s="16"/>
      <c r="G313" s="39"/>
      <c r="H313" s="16"/>
      <c r="I313" s="28">
        <f>I315+I317+I319+I320</f>
        <v>9085000</v>
      </c>
    </row>
    <row r="314" spans="1:9" s="32" customFormat="1" ht="15" x14ac:dyDescent="0.2">
      <c r="A314" s="48"/>
      <c r="B314" s="48"/>
      <c r="C314" s="48"/>
      <c r="D314" s="63"/>
      <c r="E314" s="56" t="s">
        <v>103</v>
      </c>
      <c r="F314" s="16"/>
      <c r="G314" s="97"/>
      <c r="H314" s="98"/>
      <c r="I314" s="28"/>
    </row>
    <row r="315" spans="1:9" s="32" customFormat="1" ht="45" x14ac:dyDescent="0.2">
      <c r="A315" s="48"/>
      <c r="B315" s="48"/>
      <c r="C315" s="48"/>
      <c r="D315" s="63"/>
      <c r="E315" s="6" t="s">
        <v>569</v>
      </c>
      <c r="F315" s="16">
        <v>8748526</v>
      </c>
      <c r="G315" s="97">
        <v>3.9838253895570523</v>
      </c>
      <c r="H315" s="98">
        <v>348526</v>
      </c>
      <c r="I315" s="28">
        <v>8400000</v>
      </c>
    </row>
    <row r="316" spans="1:9" s="32" customFormat="1" ht="15" x14ac:dyDescent="0.2">
      <c r="A316" s="48"/>
      <c r="B316" s="48"/>
      <c r="C316" s="48"/>
      <c r="D316" s="63"/>
      <c r="E316" s="77" t="s">
        <v>88</v>
      </c>
      <c r="F316" s="16"/>
      <c r="G316" s="97"/>
      <c r="H316" s="98"/>
      <c r="I316" s="28"/>
    </row>
    <row r="317" spans="1:9" s="32" customFormat="1" ht="90" x14ac:dyDescent="0.2">
      <c r="A317" s="48"/>
      <c r="B317" s="48"/>
      <c r="C317" s="48"/>
      <c r="D317" s="63"/>
      <c r="E317" s="6" t="s">
        <v>794</v>
      </c>
      <c r="F317" s="16">
        <v>3500000</v>
      </c>
      <c r="G317" s="97">
        <v>93.171428571428578</v>
      </c>
      <c r="H317" s="98">
        <v>3261000</v>
      </c>
      <c r="I317" s="28">
        <v>239000</v>
      </c>
    </row>
    <row r="318" spans="1:9" s="32" customFormat="1" ht="15" x14ac:dyDescent="0.2">
      <c r="A318" s="48"/>
      <c r="B318" s="48"/>
      <c r="C318" s="48"/>
      <c r="D318" s="63"/>
      <c r="E318" s="77" t="s">
        <v>310</v>
      </c>
      <c r="F318" s="16"/>
      <c r="G318" s="97"/>
      <c r="H318" s="98"/>
      <c r="I318" s="28"/>
    </row>
    <row r="319" spans="1:9" s="32" customFormat="1" ht="90" x14ac:dyDescent="0.2">
      <c r="A319" s="48"/>
      <c r="B319" s="48"/>
      <c r="C319" s="48"/>
      <c r="D319" s="63"/>
      <c r="E319" s="6" t="s">
        <v>661</v>
      </c>
      <c r="F319" s="16">
        <v>1500000</v>
      </c>
      <c r="G319" s="97">
        <v>85.533333333333331</v>
      </c>
      <c r="H319" s="98">
        <v>1283000</v>
      </c>
      <c r="I319" s="28">
        <v>217000</v>
      </c>
    </row>
    <row r="320" spans="1:9" s="32" customFormat="1" ht="92.25" customHeight="1" x14ac:dyDescent="0.2">
      <c r="A320" s="48"/>
      <c r="B320" s="48"/>
      <c r="C320" s="48"/>
      <c r="D320" s="63"/>
      <c r="E320" s="6" t="s">
        <v>795</v>
      </c>
      <c r="F320" s="16">
        <v>3000000</v>
      </c>
      <c r="G320" s="97">
        <v>92.36666666666666</v>
      </c>
      <c r="H320" s="98">
        <v>2771000</v>
      </c>
      <c r="I320" s="28">
        <v>229000</v>
      </c>
    </row>
    <row r="321" spans="1:9" s="32" customFormat="1" ht="15" x14ac:dyDescent="0.2">
      <c r="A321" s="48" t="s">
        <v>258</v>
      </c>
      <c r="B321" s="48" t="s">
        <v>345</v>
      </c>
      <c r="C321" s="48" t="s">
        <v>291</v>
      </c>
      <c r="D321" s="63" t="s">
        <v>346</v>
      </c>
      <c r="E321" s="6"/>
      <c r="F321" s="16"/>
      <c r="G321" s="17"/>
      <c r="H321" s="17"/>
      <c r="I321" s="28">
        <f>I323</f>
        <v>13514000</v>
      </c>
    </row>
    <row r="322" spans="1:9" s="32" customFormat="1" ht="15" x14ac:dyDescent="0.2">
      <c r="A322" s="48"/>
      <c r="B322" s="48"/>
      <c r="C322" s="48"/>
      <c r="D322" s="63" t="s">
        <v>128</v>
      </c>
      <c r="E322" s="6"/>
      <c r="F322" s="16"/>
      <c r="G322" s="17"/>
      <c r="H322" s="17"/>
      <c r="I322" s="28"/>
    </row>
    <row r="323" spans="1:9" s="32" customFormat="1" ht="30" x14ac:dyDescent="0.2">
      <c r="A323" s="48"/>
      <c r="B323" s="48"/>
      <c r="C323" s="48"/>
      <c r="D323" s="8" t="s">
        <v>472</v>
      </c>
      <c r="E323" s="6"/>
      <c r="F323" s="16"/>
      <c r="G323" s="17"/>
      <c r="H323" s="17"/>
      <c r="I323" s="29">
        <v>13514000</v>
      </c>
    </row>
    <row r="324" spans="1:9" s="51" customFormat="1" ht="34.5" customHeight="1" x14ac:dyDescent="0.2">
      <c r="A324" s="35" t="s">
        <v>512</v>
      </c>
      <c r="B324" s="35"/>
      <c r="C324" s="9"/>
      <c r="D324" s="9" t="s">
        <v>25</v>
      </c>
      <c r="E324" s="10"/>
      <c r="F324" s="18"/>
      <c r="G324" s="152"/>
      <c r="H324" s="18"/>
      <c r="I324" s="27">
        <f>I325</f>
        <v>2537051480.5999999</v>
      </c>
    </row>
    <row r="325" spans="1:9" s="51" customFormat="1" ht="34.5" customHeight="1" x14ac:dyDescent="0.2">
      <c r="A325" s="35" t="s">
        <v>513</v>
      </c>
      <c r="B325" s="35"/>
      <c r="C325" s="9"/>
      <c r="D325" s="94" t="s">
        <v>25</v>
      </c>
      <c r="E325" s="10"/>
      <c r="F325" s="18"/>
      <c r="G325" s="152"/>
      <c r="H325" s="18"/>
      <c r="I325" s="27">
        <f>I326+I327+I331+I332+I333+I334+I335+I338+I339+I341+I343+I363+I603+I585+I598+I329+I337+I819+I348</f>
        <v>2537051480.5999999</v>
      </c>
    </row>
    <row r="326" spans="1:9" s="51" customFormat="1" ht="21.75" customHeight="1" x14ac:dyDescent="0.2">
      <c r="A326" s="47" t="s">
        <v>320</v>
      </c>
      <c r="B326" s="48" t="s">
        <v>321</v>
      </c>
      <c r="C326" s="48" t="s">
        <v>322</v>
      </c>
      <c r="D326" s="85" t="s">
        <v>323</v>
      </c>
      <c r="E326" s="6" t="s">
        <v>292</v>
      </c>
      <c r="F326" s="49"/>
      <c r="G326" s="50"/>
      <c r="H326" s="49"/>
      <c r="I326" s="28">
        <f>21177048+12140000-145247+100000+161721-288879-3470000</f>
        <v>29674643</v>
      </c>
    </row>
    <row r="327" spans="1:9" s="51" customFormat="1" ht="60.75" customHeight="1" x14ac:dyDescent="0.2">
      <c r="A327" s="47" t="s">
        <v>324</v>
      </c>
      <c r="B327" s="48" t="s">
        <v>325</v>
      </c>
      <c r="C327" s="48" t="s">
        <v>326</v>
      </c>
      <c r="D327" s="85" t="s">
        <v>1</v>
      </c>
      <c r="E327" s="6" t="s">
        <v>292</v>
      </c>
      <c r="F327" s="49"/>
      <c r="G327" s="50"/>
      <c r="H327" s="49"/>
      <c r="I327" s="17">
        <f>279861958+87686100+25173484+5000000-1166820-2424402+6447953-1643620+12750228</f>
        <v>411684881</v>
      </c>
    </row>
    <row r="328" spans="1:9" s="55" customFormat="1" ht="15" x14ac:dyDescent="0.2">
      <c r="A328" s="52"/>
      <c r="B328" s="44"/>
      <c r="C328" s="44"/>
      <c r="D328" s="84" t="s">
        <v>129</v>
      </c>
      <c r="E328" s="8"/>
      <c r="F328" s="53"/>
      <c r="G328" s="54"/>
      <c r="H328" s="53"/>
      <c r="I328" s="29">
        <v>132657</v>
      </c>
    </row>
    <row r="329" spans="1:9" s="51" customFormat="1" ht="47.25" customHeight="1" x14ac:dyDescent="0.2">
      <c r="A329" s="47" t="s">
        <v>130</v>
      </c>
      <c r="B329" s="48" t="s">
        <v>131</v>
      </c>
      <c r="C329" s="48" t="s">
        <v>329</v>
      </c>
      <c r="D329" s="85" t="s">
        <v>132</v>
      </c>
      <c r="E329" s="6" t="s">
        <v>292</v>
      </c>
      <c r="F329" s="49"/>
      <c r="G329" s="50"/>
      <c r="H329" s="49"/>
      <c r="I329" s="28">
        <v>244668</v>
      </c>
    </row>
    <row r="330" spans="1:9" s="55" customFormat="1" ht="15" x14ac:dyDescent="0.2">
      <c r="A330" s="52"/>
      <c r="B330" s="44"/>
      <c r="C330" s="44"/>
      <c r="D330" s="84" t="s">
        <v>129</v>
      </c>
      <c r="E330" s="8"/>
      <c r="F330" s="53"/>
      <c r="G330" s="54"/>
      <c r="H330" s="53"/>
      <c r="I330" s="29">
        <v>229484</v>
      </c>
    </row>
    <row r="331" spans="1:9" s="51" customFormat="1" ht="93.75" customHeight="1" x14ac:dyDescent="0.2">
      <c r="A331" s="47" t="s">
        <v>327</v>
      </c>
      <c r="B331" s="48" t="s">
        <v>328</v>
      </c>
      <c r="C331" s="48" t="s">
        <v>329</v>
      </c>
      <c r="D331" s="85" t="s">
        <v>95</v>
      </c>
      <c r="E331" s="6" t="s">
        <v>292</v>
      </c>
      <c r="F331" s="49"/>
      <c r="G331" s="50"/>
      <c r="H331" s="49"/>
      <c r="I331" s="28">
        <f>53358451+26059000-9600000-4998212-5000000</f>
        <v>59819239</v>
      </c>
    </row>
    <row r="332" spans="1:9" s="51" customFormat="1" ht="39.75" customHeight="1" x14ac:dyDescent="0.2">
      <c r="A332" s="47" t="s">
        <v>96</v>
      </c>
      <c r="B332" s="48" t="s">
        <v>97</v>
      </c>
      <c r="C332" s="48" t="s">
        <v>51</v>
      </c>
      <c r="D332" s="85" t="s">
        <v>6</v>
      </c>
      <c r="E332" s="6" t="s">
        <v>292</v>
      </c>
      <c r="F332" s="49"/>
      <c r="G332" s="50"/>
      <c r="H332" s="49"/>
      <c r="I332" s="28">
        <f>6380245-2280245-100000-374100</f>
        <v>3625900</v>
      </c>
    </row>
    <row r="333" spans="1:9" s="51" customFormat="1" ht="21" customHeight="1" x14ac:dyDescent="0.2">
      <c r="A333" s="47" t="s">
        <v>52</v>
      </c>
      <c r="B333" s="48" t="s">
        <v>53</v>
      </c>
      <c r="C333" s="48" t="s">
        <v>54</v>
      </c>
      <c r="D333" s="85" t="s">
        <v>55</v>
      </c>
      <c r="E333" s="6" t="s">
        <v>292</v>
      </c>
      <c r="F333" s="49"/>
      <c r="G333" s="50"/>
      <c r="H333" s="49"/>
      <c r="I333" s="28">
        <f>21846857-2205831+3200000-689647-96166-198249</f>
        <v>21856964</v>
      </c>
    </row>
    <row r="334" spans="1:9" s="51" customFormat="1" ht="15" x14ac:dyDescent="0.2">
      <c r="A334" s="47" t="s">
        <v>56</v>
      </c>
      <c r="B334" s="48" t="s">
        <v>57</v>
      </c>
      <c r="C334" s="48" t="s">
        <v>58</v>
      </c>
      <c r="D334" s="85" t="s">
        <v>59</v>
      </c>
      <c r="E334" s="6" t="s">
        <v>292</v>
      </c>
      <c r="F334" s="49"/>
      <c r="G334" s="50"/>
      <c r="H334" s="49"/>
      <c r="I334" s="28">
        <f>24504860+3588860-5000000-569400</f>
        <v>22524320</v>
      </c>
    </row>
    <row r="335" spans="1:9" s="51" customFormat="1" ht="15" x14ac:dyDescent="0.2">
      <c r="A335" s="47" t="s">
        <v>60</v>
      </c>
      <c r="B335" s="48" t="s">
        <v>61</v>
      </c>
      <c r="C335" s="48"/>
      <c r="D335" s="85" t="s">
        <v>14</v>
      </c>
      <c r="E335" s="6" t="s">
        <v>292</v>
      </c>
      <c r="F335" s="49"/>
      <c r="G335" s="50"/>
      <c r="H335" s="49"/>
      <c r="I335" s="28">
        <f>I336</f>
        <v>5713791</v>
      </c>
    </row>
    <row r="336" spans="1:9" s="55" customFormat="1" ht="45" customHeight="1" x14ac:dyDescent="0.2">
      <c r="A336" s="52" t="s">
        <v>62</v>
      </c>
      <c r="B336" s="44" t="s">
        <v>63</v>
      </c>
      <c r="C336" s="44" t="s">
        <v>15</v>
      </c>
      <c r="D336" s="84" t="s">
        <v>64</v>
      </c>
      <c r="E336" s="8" t="s">
        <v>292</v>
      </c>
      <c r="F336" s="53"/>
      <c r="G336" s="54"/>
      <c r="H336" s="53"/>
      <c r="I336" s="29">
        <f>11069161+3500000-195972-5600000-2959398-100000</f>
        <v>5713791</v>
      </c>
    </row>
    <row r="337" spans="1:9" s="51" customFormat="1" ht="17.25" customHeight="1" x14ac:dyDescent="0.2">
      <c r="A337" s="47" t="s">
        <v>404</v>
      </c>
      <c r="B337" s="48" t="s">
        <v>456</v>
      </c>
      <c r="C337" s="48" t="s">
        <v>457</v>
      </c>
      <c r="D337" s="85" t="s">
        <v>458</v>
      </c>
      <c r="E337" s="6" t="s">
        <v>292</v>
      </c>
      <c r="F337" s="49"/>
      <c r="G337" s="50"/>
      <c r="H337" s="49"/>
      <c r="I337" s="28">
        <f>1169064-860958-300000</f>
        <v>8106</v>
      </c>
    </row>
    <row r="338" spans="1:9" s="51" customFormat="1" ht="34.15" customHeight="1" x14ac:dyDescent="0.2">
      <c r="A338" s="47" t="s">
        <v>65</v>
      </c>
      <c r="B338" s="47" t="s">
        <v>66</v>
      </c>
      <c r="C338" s="47" t="s">
        <v>67</v>
      </c>
      <c r="D338" s="85" t="s">
        <v>68</v>
      </c>
      <c r="E338" s="6" t="s">
        <v>292</v>
      </c>
      <c r="F338" s="49"/>
      <c r="G338" s="50"/>
      <c r="H338" s="49"/>
      <c r="I338" s="28">
        <f>2975437+2950000+7000-24664</f>
        <v>5907773</v>
      </c>
    </row>
    <row r="339" spans="1:9" s="51" customFormat="1" ht="15" x14ac:dyDescent="0.2">
      <c r="A339" s="47" t="s">
        <v>69</v>
      </c>
      <c r="B339" s="47" t="s">
        <v>377</v>
      </c>
      <c r="C339" s="47"/>
      <c r="D339" s="63" t="s">
        <v>494</v>
      </c>
      <c r="E339" s="6" t="s">
        <v>292</v>
      </c>
      <c r="F339" s="49"/>
      <c r="G339" s="50"/>
      <c r="H339" s="49"/>
      <c r="I339" s="28">
        <f>I340</f>
        <v>20985266</v>
      </c>
    </row>
    <row r="340" spans="1:9" s="55" customFormat="1" ht="34.15" customHeight="1" x14ac:dyDescent="0.2">
      <c r="A340" s="52" t="s">
        <v>70</v>
      </c>
      <c r="B340" s="52" t="s">
        <v>71</v>
      </c>
      <c r="C340" s="52" t="s">
        <v>289</v>
      </c>
      <c r="D340" s="84" t="s">
        <v>517</v>
      </c>
      <c r="E340" s="8" t="s">
        <v>292</v>
      </c>
      <c r="F340" s="53"/>
      <c r="G340" s="54"/>
      <c r="H340" s="53"/>
      <c r="I340" s="29">
        <f>15817086+4500000+1656000-707931-279889</f>
        <v>20985266</v>
      </c>
    </row>
    <row r="341" spans="1:9" s="51" customFormat="1" ht="15" x14ac:dyDescent="0.2">
      <c r="A341" s="47" t="s">
        <v>518</v>
      </c>
      <c r="B341" s="48" t="s">
        <v>519</v>
      </c>
      <c r="C341" s="153"/>
      <c r="D341" s="63" t="s">
        <v>520</v>
      </c>
      <c r="E341" s="6" t="s">
        <v>292</v>
      </c>
      <c r="F341" s="49"/>
      <c r="G341" s="50"/>
      <c r="H341" s="49"/>
      <c r="I341" s="28">
        <f>I342</f>
        <v>672416</v>
      </c>
    </row>
    <row r="342" spans="1:9" s="55" customFormat="1" ht="19.5" customHeight="1" x14ac:dyDescent="0.2">
      <c r="A342" s="52" t="s">
        <v>521</v>
      </c>
      <c r="B342" s="52" t="s">
        <v>522</v>
      </c>
      <c r="C342" s="52" t="s">
        <v>289</v>
      </c>
      <c r="D342" s="84" t="s">
        <v>523</v>
      </c>
      <c r="E342" s="8" t="s">
        <v>292</v>
      </c>
      <c r="F342" s="53"/>
      <c r="G342" s="54"/>
      <c r="H342" s="53"/>
      <c r="I342" s="29">
        <f>700000+22416-50000</f>
        <v>672416</v>
      </c>
    </row>
    <row r="343" spans="1:9" s="32" customFormat="1" ht="21.75" customHeight="1" x14ac:dyDescent="0.2">
      <c r="A343" s="48" t="s">
        <v>528</v>
      </c>
      <c r="B343" s="48" t="s">
        <v>127</v>
      </c>
      <c r="C343" s="48" t="s">
        <v>101</v>
      </c>
      <c r="D343" s="63" t="s">
        <v>102</v>
      </c>
      <c r="E343" s="6"/>
      <c r="F343" s="16"/>
      <c r="G343" s="39"/>
      <c r="H343" s="16"/>
      <c r="I343" s="28">
        <f>I345+I347</f>
        <v>40422043</v>
      </c>
    </row>
    <row r="344" spans="1:9" s="51" customFormat="1" ht="15" x14ac:dyDescent="0.2">
      <c r="A344" s="154"/>
      <c r="B344" s="154"/>
      <c r="C344" s="153"/>
      <c r="D344" s="155"/>
      <c r="E344" s="56" t="s">
        <v>103</v>
      </c>
      <c r="F344" s="16"/>
      <c r="G344" s="39"/>
      <c r="H344" s="16"/>
      <c r="I344" s="28"/>
    </row>
    <row r="345" spans="1:9" s="51" customFormat="1" ht="46.5" customHeight="1" x14ac:dyDescent="0.2">
      <c r="A345" s="154"/>
      <c r="B345" s="154"/>
      <c r="C345" s="153"/>
      <c r="D345" s="155"/>
      <c r="E345" s="6" t="s">
        <v>570</v>
      </c>
      <c r="F345" s="16">
        <v>29420723</v>
      </c>
      <c r="G345" s="97">
        <v>4.3</v>
      </c>
      <c r="H345" s="98">
        <v>1274973</v>
      </c>
      <c r="I345" s="28">
        <f>20647321+182905+3127+127280</f>
        <v>20960633</v>
      </c>
    </row>
    <row r="346" spans="1:9" s="55" customFormat="1" ht="15" x14ac:dyDescent="0.2">
      <c r="A346" s="52"/>
      <c r="B346" s="44"/>
      <c r="C346" s="44"/>
      <c r="D346" s="84"/>
      <c r="E346" s="84" t="s">
        <v>129</v>
      </c>
      <c r="F346" s="53"/>
      <c r="G346" s="54"/>
      <c r="H346" s="53"/>
      <c r="I346" s="29">
        <v>347321</v>
      </c>
    </row>
    <row r="347" spans="1:9" s="55" customFormat="1" ht="45" x14ac:dyDescent="0.2">
      <c r="A347" s="52"/>
      <c r="B347" s="44"/>
      <c r="C347" s="44"/>
      <c r="D347" s="84"/>
      <c r="E347" s="85" t="s">
        <v>722</v>
      </c>
      <c r="F347" s="16">
        <v>20998804</v>
      </c>
      <c r="G347" s="39">
        <v>7.3</v>
      </c>
      <c r="H347" s="16">
        <v>1537394</v>
      </c>
      <c r="I347" s="28">
        <f>20400000-900000-38590</f>
        <v>19461410</v>
      </c>
    </row>
    <row r="348" spans="1:9" s="51" customFormat="1" ht="15" x14ac:dyDescent="0.2">
      <c r="A348" s="47" t="s">
        <v>89</v>
      </c>
      <c r="B348" s="48" t="s">
        <v>90</v>
      </c>
      <c r="C348" s="48"/>
      <c r="D348" s="85" t="s">
        <v>91</v>
      </c>
      <c r="E348" s="85"/>
      <c r="F348" s="16"/>
      <c r="G348" s="39"/>
      <c r="H348" s="16"/>
      <c r="I348" s="28">
        <f>I349</f>
        <v>40133191.600000001</v>
      </c>
    </row>
    <row r="349" spans="1:9" s="55" customFormat="1" ht="60" x14ac:dyDescent="0.2">
      <c r="A349" s="52" t="s">
        <v>92</v>
      </c>
      <c r="B349" s="44" t="s">
        <v>93</v>
      </c>
      <c r="C349" s="44" t="s">
        <v>94</v>
      </c>
      <c r="D349" s="84" t="s">
        <v>372</v>
      </c>
      <c r="E349" s="85"/>
      <c r="F349" s="16"/>
      <c r="G349" s="39"/>
      <c r="H349" s="16"/>
      <c r="I349" s="28">
        <f>I352+I358+I361+I355</f>
        <v>40133191.600000001</v>
      </c>
    </row>
    <row r="350" spans="1:9" s="55" customFormat="1" ht="15" x14ac:dyDescent="0.2">
      <c r="A350" s="52"/>
      <c r="B350" s="44"/>
      <c r="C350" s="44"/>
      <c r="D350" s="84"/>
      <c r="E350" s="84" t="s">
        <v>17</v>
      </c>
      <c r="F350" s="20"/>
      <c r="G350" s="38"/>
      <c r="H350" s="20"/>
      <c r="I350" s="29">
        <v>39173471.600000001</v>
      </c>
    </row>
    <row r="351" spans="1:9" s="55" customFormat="1" ht="15" x14ac:dyDescent="0.2">
      <c r="A351" s="52"/>
      <c r="B351" s="44"/>
      <c r="C351" s="44"/>
      <c r="D351" s="84"/>
      <c r="E351" s="93" t="s">
        <v>363</v>
      </c>
      <c r="F351" s="16"/>
      <c r="G351" s="39"/>
      <c r="H351" s="16"/>
      <c r="I351" s="28"/>
    </row>
    <row r="352" spans="1:9" s="55" customFormat="1" ht="45" x14ac:dyDescent="0.2">
      <c r="A352" s="52"/>
      <c r="B352" s="44"/>
      <c r="C352" s="44"/>
      <c r="D352" s="84"/>
      <c r="E352" s="85" t="s">
        <v>723</v>
      </c>
      <c r="F352" s="16">
        <v>11547127</v>
      </c>
      <c r="G352" s="39">
        <v>12.8</v>
      </c>
      <c r="H352" s="16">
        <v>1473209</v>
      </c>
      <c r="I352" s="28">
        <f>60000+120197+9893721.2</f>
        <v>10073918.199999999</v>
      </c>
    </row>
    <row r="353" spans="1:9" s="55" customFormat="1" ht="15" x14ac:dyDescent="0.2">
      <c r="A353" s="52"/>
      <c r="B353" s="44"/>
      <c r="C353" s="44"/>
      <c r="D353" s="84"/>
      <c r="E353" s="84" t="s">
        <v>17</v>
      </c>
      <c r="F353" s="20"/>
      <c r="G353" s="38"/>
      <c r="H353" s="20"/>
      <c r="I353" s="29">
        <v>9883123.1999999993</v>
      </c>
    </row>
    <row r="354" spans="1:9" s="55" customFormat="1" ht="15" x14ac:dyDescent="0.2">
      <c r="A354" s="52"/>
      <c r="B354" s="44"/>
      <c r="C354" s="44"/>
      <c r="D354" s="84"/>
      <c r="E354" s="93" t="s">
        <v>244</v>
      </c>
      <c r="F354" s="16"/>
      <c r="G354" s="39"/>
      <c r="H354" s="16"/>
      <c r="I354" s="28"/>
    </row>
    <row r="355" spans="1:9" s="55" customFormat="1" ht="30" x14ac:dyDescent="0.2">
      <c r="A355" s="52"/>
      <c r="B355" s="44"/>
      <c r="C355" s="44"/>
      <c r="D355" s="84"/>
      <c r="E355" s="85" t="s">
        <v>571</v>
      </c>
      <c r="F355" s="16">
        <v>12728594</v>
      </c>
      <c r="G355" s="39">
        <v>7.5686882620342804</v>
      </c>
      <c r="H355" s="16">
        <v>963387.6</v>
      </c>
      <c r="I355" s="28">
        <v>11765206.4</v>
      </c>
    </row>
    <row r="356" spans="1:9" s="55" customFormat="1" ht="15" x14ac:dyDescent="0.2">
      <c r="A356" s="52"/>
      <c r="B356" s="44"/>
      <c r="C356" s="44"/>
      <c r="D356" s="84"/>
      <c r="E356" s="84" t="s">
        <v>17</v>
      </c>
      <c r="F356" s="20"/>
      <c r="G356" s="38"/>
      <c r="H356" s="20"/>
      <c r="I356" s="29">
        <v>11572336.4</v>
      </c>
    </row>
    <row r="357" spans="1:9" s="55" customFormat="1" ht="15" x14ac:dyDescent="0.2">
      <c r="A357" s="52"/>
      <c r="B357" s="44"/>
      <c r="C357" s="44"/>
      <c r="D357" s="84"/>
      <c r="E357" s="93" t="s">
        <v>335</v>
      </c>
      <c r="F357" s="16"/>
      <c r="G357" s="39"/>
      <c r="H357" s="16"/>
      <c r="I357" s="28"/>
    </row>
    <row r="358" spans="1:9" s="55" customFormat="1" ht="45" x14ac:dyDescent="0.2">
      <c r="A358" s="52"/>
      <c r="B358" s="44"/>
      <c r="C358" s="44"/>
      <c r="D358" s="84"/>
      <c r="E358" s="85" t="s">
        <v>144</v>
      </c>
      <c r="F358" s="16">
        <v>10710693</v>
      </c>
      <c r="G358" s="39">
        <v>15.5</v>
      </c>
      <c r="H358" s="16">
        <v>1656760</v>
      </c>
      <c r="I358" s="28">
        <f>60000+312522+8681410.8</f>
        <v>9053932.8000000007</v>
      </c>
    </row>
    <row r="359" spans="1:9" s="55" customFormat="1" ht="15" x14ac:dyDescent="0.2">
      <c r="A359" s="52"/>
      <c r="B359" s="44"/>
      <c r="C359" s="44"/>
      <c r="D359" s="84"/>
      <c r="E359" s="84" t="s">
        <v>17</v>
      </c>
      <c r="F359" s="20"/>
      <c r="G359" s="38"/>
      <c r="H359" s="20"/>
      <c r="I359" s="29">
        <v>8681410.8000000007</v>
      </c>
    </row>
    <row r="360" spans="1:9" s="55" customFormat="1" ht="15" x14ac:dyDescent="0.2">
      <c r="A360" s="52"/>
      <c r="B360" s="44"/>
      <c r="C360" s="44"/>
      <c r="D360" s="84"/>
      <c r="E360" s="93" t="s">
        <v>313</v>
      </c>
      <c r="F360" s="16"/>
      <c r="G360" s="39"/>
      <c r="H360" s="16"/>
      <c r="I360" s="28"/>
    </row>
    <row r="361" spans="1:9" s="55" customFormat="1" ht="30" x14ac:dyDescent="0.2">
      <c r="A361" s="52"/>
      <c r="B361" s="44"/>
      <c r="C361" s="44"/>
      <c r="D361" s="84"/>
      <c r="E361" s="85" t="s">
        <v>426</v>
      </c>
      <c r="F361" s="16">
        <v>10581282</v>
      </c>
      <c r="G361" s="39">
        <v>12.674719377103841</v>
      </c>
      <c r="H361" s="16">
        <v>1341147.8</v>
      </c>
      <c r="I361" s="28">
        <f>60000+135600+9044534.2</f>
        <v>9240134.1999999993</v>
      </c>
    </row>
    <row r="362" spans="1:9" s="55" customFormat="1" ht="15" x14ac:dyDescent="0.2">
      <c r="A362" s="52"/>
      <c r="B362" s="44"/>
      <c r="C362" s="44"/>
      <c r="D362" s="84"/>
      <c r="E362" s="85" t="s">
        <v>412</v>
      </c>
      <c r="F362" s="16"/>
      <c r="G362" s="39"/>
      <c r="H362" s="16"/>
      <c r="I362" s="28">
        <v>9036601.1999999993</v>
      </c>
    </row>
    <row r="363" spans="1:9" s="32" customFormat="1" ht="18" customHeight="1" x14ac:dyDescent="0.2">
      <c r="A363" s="48" t="s">
        <v>388</v>
      </c>
      <c r="B363" s="48" t="s">
        <v>387</v>
      </c>
      <c r="C363" s="48"/>
      <c r="D363" s="63" t="s">
        <v>333</v>
      </c>
      <c r="E363" s="6"/>
      <c r="F363" s="16"/>
      <c r="G363" s="39"/>
      <c r="H363" s="16"/>
      <c r="I363" s="28">
        <f>I364+I487+I513+I518+I523</f>
        <v>946791148</v>
      </c>
    </row>
    <row r="364" spans="1:9" s="45" customFormat="1" ht="18" customHeight="1" x14ac:dyDescent="0.2">
      <c r="A364" s="44" t="s">
        <v>529</v>
      </c>
      <c r="B364" s="44" t="s">
        <v>530</v>
      </c>
      <c r="C364" s="44" t="s">
        <v>44</v>
      </c>
      <c r="D364" s="95" t="s">
        <v>201</v>
      </c>
      <c r="E364" s="8"/>
      <c r="F364" s="20"/>
      <c r="G364" s="38"/>
      <c r="H364" s="20"/>
      <c r="I364" s="29">
        <f>SUM(I366:I486)-I451-I415</f>
        <v>571217993</v>
      </c>
    </row>
    <row r="365" spans="1:9" s="45" customFormat="1" ht="15" x14ac:dyDescent="0.2">
      <c r="A365" s="44"/>
      <c r="B365" s="44"/>
      <c r="C365" s="44"/>
      <c r="D365" s="95"/>
      <c r="E365" s="56" t="s">
        <v>103</v>
      </c>
      <c r="F365" s="20"/>
      <c r="G365" s="38"/>
      <c r="H365" s="20"/>
      <c r="I365" s="29"/>
    </row>
    <row r="366" spans="1:9" s="45" customFormat="1" ht="60" x14ac:dyDescent="0.2">
      <c r="A366" s="44"/>
      <c r="B366" s="44"/>
      <c r="C366" s="44"/>
      <c r="D366" s="95"/>
      <c r="E366" s="140" t="s">
        <v>796</v>
      </c>
      <c r="F366" s="16">
        <v>80000000</v>
      </c>
      <c r="G366" s="97">
        <v>98</v>
      </c>
      <c r="H366" s="98">
        <v>78386618</v>
      </c>
      <c r="I366" s="28">
        <f>485001+314999-450000</f>
        <v>350000</v>
      </c>
    </row>
    <row r="367" spans="1:9" s="45" customFormat="1" ht="60" x14ac:dyDescent="0.2">
      <c r="A367" s="44"/>
      <c r="B367" s="44"/>
      <c r="C367" s="44"/>
      <c r="D367" s="95"/>
      <c r="E367" s="6" t="s">
        <v>662</v>
      </c>
      <c r="F367" s="16">
        <v>1000000</v>
      </c>
      <c r="G367" s="97">
        <v>57.898799999999994</v>
      </c>
      <c r="H367" s="98">
        <v>578988</v>
      </c>
      <c r="I367" s="28">
        <v>421012</v>
      </c>
    </row>
    <row r="368" spans="1:9" s="45" customFormat="1" ht="30" x14ac:dyDescent="0.2">
      <c r="A368" s="44"/>
      <c r="B368" s="44"/>
      <c r="C368" s="44"/>
      <c r="D368" s="95"/>
      <c r="E368" s="6" t="s">
        <v>374</v>
      </c>
      <c r="F368" s="16">
        <v>76569705</v>
      </c>
      <c r="G368" s="97">
        <v>99</v>
      </c>
      <c r="H368" s="98">
        <v>75820240</v>
      </c>
      <c r="I368" s="28">
        <f>1128536-702300-8236</f>
        <v>418000</v>
      </c>
    </row>
    <row r="369" spans="1:9" s="45" customFormat="1" ht="45" x14ac:dyDescent="0.2">
      <c r="A369" s="44"/>
      <c r="B369" s="44"/>
      <c r="C369" s="44"/>
      <c r="D369" s="95"/>
      <c r="E369" s="6" t="s">
        <v>572</v>
      </c>
      <c r="F369" s="16">
        <v>29571598</v>
      </c>
      <c r="G369" s="97">
        <v>7.7</v>
      </c>
      <c r="H369" s="98">
        <v>2279368</v>
      </c>
      <c r="I369" s="28">
        <f>17717354+4991000+205000</f>
        <v>22913354</v>
      </c>
    </row>
    <row r="370" spans="1:9" s="45" customFormat="1" ht="30" x14ac:dyDescent="0.2">
      <c r="A370" s="44"/>
      <c r="B370" s="44"/>
      <c r="C370" s="44"/>
      <c r="D370" s="95"/>
      <c r="E370" s="6" t="s">
        <v>573</v>
      </c>
      <c r="F370" s="16">
        <v>12935244</v>
      </c>
      <c r="G370" s="97">
        <v>44.6</v>
      </c>
      <c r="H370" s="98">
        <v>5775561</v>
      </c>
      <c r="I370" s="28">
        <f>4283000+7835000-335531-5000000+217531</f>
        <v>7000000</v>
      </c>
    </row>
    <row r="371" spans="1:9" s="45" customFormat="1" ht="28.5" customHeight="1" x14ac:dyDescent="0.2">
      <c r="A371" s="44"/>
      <c r="B371" s="44"/>
      <c r="C371" s="44"/>
      <c r="D371" s="95"/>
      <c r="E371" s="6" t="s">
        <v>574</v>
      </c>
      <c r="F371" s="16">
        <v>50000000</v>
      </c>
      <c r="G371" s="97">
        <v>97.2</v>
      </c>
      <c r="H371" s="98">
        <v>48582167</v>
      </c>
      <c r="I371" s="28">
        <f>2244000+10000000-11000000-405385</f>
        <v>838615</v>
      </c>
    </row>
    <row r="372" spans="1:9" s="45" customFormat="1" ht="30" x14ac:dyDescent="0.2">
      <c r="A372" s="44"/>
      <c r="B372" s="44"/>
      <c r="C372" s="44"/>
      <c r="D372" s="95"/>
      <c r="E372" s="6" t="s">
        <v>575</v>
      </c>
      <c r="F372" s="16">
        <v>50000000</v>
      </c>
      <c r="G372" s="97">
        <v>98.9</v>
      </c>
      <c r="H372" s="98">
        <v>49430155</v>
      </c>
      <c r="I372" s="28">
        <f>4708000+10000000-14000000-588155</f>
        <v>119845</v>
      </c>
    </row>
    <row r="373" spans="1:9" s="45" customFormat="1" ht="60" x14ac:dyDescent="0.2">
      <c r="A373" s="44"/>
      <c r="B373" s="44"/>
      <c r="C373" s="44"/>
      <c r="D373" s="95"/>
      <c r="E373" s="6" t="s">
        <v>724</v>
      </c>
      <c r="F373" s="16">
        <v>19801061</v>
      </c>
      <c r="G373" s="97">
        <v>97.3</v>
      </c>
      <c r="H373" s="98">
        <v>19273252</v>
      </c>
      <c r="I373" s="28">
        <f>100000+370000+57809</f>
        <v>527809</v>
      </c>
    </row>
    <row r="374" spans="1:9" s="45" customFormat="1" ht="15" x14ac:dyDescent="0.2">
      <c r="A374" s="44"/>
      <c r="B374" s="44"/>
      <c r="C374" s="44"/>
      <c r="D374" s="95"/>
      <c r="E374" s="56" t="s">
        <v>202</v>
      </c>
      <c r="F374" s="16"/>
      <c r="G374" s="97"/>
      <c r="H374" s="98"/>
      <c r="I374" s="28"/>
    </row>
    <row r="375" spans="1:9" s="45" customFormat="1" ht="45" x14ac:dyDescent="0.2">
      <c r="A375" s="44"/>
      <c r="B375" s="44"/>
      <c r="C375" s="44"/>
      <c r="D375" s="95"/>
      <c r="E375" s="6" t="s">
        <v>797</v>
      </c>
      <c r="F375" s="16">
        <v>14591711</v>
      </c>
      <c r="G375" s="97">
        <v>30.505209430203216</v>
      </c>
      <c r="H375" s="98">
        <v>4451232</v>
      </c>
      <c r="I375" s="28">
        <v>10003000</v>
      </c>
    </row>
    <row r="376" spans="1:9" s="45" customFormat="1" ht="15" x14ac:dyDescent="0.2">
      <c r="A376" s="44"/>
      <c r="B376" s="44"/>
      <c r="C376" s="44"/>
      <c r="D376" s="95"/>
      <c r="E376" s="56" t="s">
        <v>203</v>
      </c>
      <c r="F376" s="16"/>
      <c r="G376" s="97"/>
      <c r="H376" s="98"/>
      <c r="I376" s="28"/>
    </row>
    <row r="377" spans="1:9" s="45" customFormat="1" ht="75" x14ac:dyDescent="0.2">
      <c r="A377" s="44"/>
      <c r="B377" s="44"/>
      <c r="C377" s="44"/>
      <c r="D377" s="95"/>
      <c r="E377" s="6" t="s">
        <v>725</v>
      </c>
      <c r="F377" s="16">
        <v>14569228</v>
      </c>
      <c r="G377" s="97"/>
      <c r="H377" s="98"/>
      <c r="I377" s="28">
        <v>5921910</v>
      </c>
    </row>
    <row r="378" spans="1:9" s="45" customFormat="1" ht="60" x14ac:dyDescent="0.2">
      <c r="A378" s="44"/>
      <c r="B378" s="44"/>
      <c r="C378" s="44"/>
      <c r="D378" s="95"/>
      <c r="E378" s="6" t="s">
        <v>375</v>
      </c>
      <c r="F378" s="16">
        <v>57367187</v>
      </c>
      <c r="G378" s="97">
        <v>53.2</v>
      </c>
      <c r="H378" s="98">
        <v>30496650</v>
      </c>
      <c r="I378" s="28">
        <f>17700000+10000000-10000000</f>
        <v>17700000</v>
      </c>
    </row>
    <row r="379" spans="1:9" s="45" customFormat="1" ht="45" x14ac:dyDescent="0.2">
      <c r="A379" s="44"/>
      <c r="B379" s="44"/>
      <c r="C379" s="44"/>
      <c r="D379" s="95"/>
      <c r="E379" s="6" t="s">
        <v>726</v>
      </c>
      <c r="F379" s="16">
        <v>88899149</v>
      </c>
      <c r="G379" s="97">
        <v>98.6</v>
      </c>
      <c r="H379" s="98">
        <v>87612537</v>
      </c>
      <c r="I379" s="28">
        <f>500000+786612</f>
        <v>1286612</v>
      </c>
    </row>
    <row r="380" spans="1:9" s="45" customFormat="1" ht="45" x14ac:dyDescent="0.2">
      <c r="A380" s="44"/>
      <c r="B380" s="44"/>
      <c r="C380" s="44"/>
      <c r="D380" s="95"/>
      <c r="E380" s="6" t="s">
        <v>405</v>
      </c>
      <c r="F380" s="16">
        <v>5428641</v>
      </c>
      <c r="G380" s="97"/>
      <c r="H380" s="98"/>
      <c r="I380" s="28">
        <v>198054</v>
      </c>
    </row>
    <row r="381" spans="1:9" s="45" customFormat="1" ht="15" x14ac:dyDescent="0.2">
      <c r="A381" s="44"/>
      <c r="B381" s="44"/>
      <c r="C381" s="44"/>
      <c r="D381" s="95"/>
      <c r="E381" s="77" t="s">
        <v>104</v>
      </c>
      <c r="F381" s="16"/>
      <c r="G381" s="97"/>
      <c r="H381" s="98"/>
      <c r="I381" s="28"/>
    </row>
    <row r="382" spans="1:9" s="45" customFormat="1" ht="30.75" customHeight="1" x14ac:dyDescent="0.2">
      <c r="A382" s="44"/>
      <c r="B382" s="44"/>
      <c r="C382" s="44"/>
      <c r="D382" s="95"/>
      <c r="E382" s="6" t="s">
        <v>576</v>
      </c>
      <c r="F382" s="16">
        <v>38863367</v>
      </c>
      <c r="G382" s="97"/>
      <c r="H382" s="98"/>
      <c r="I382" s="28">
        <v>8106</v>
      </c>
    </row>
    <row r="383" spans="1:9" s="45" customFormat="1" ht="15" x14ac:dyDescent="0.2">
      <c r="A383" s="44"/>
      <c r="B383" s="44"/>
      <c r="C383" s="44"/>
      <c r="D383" s="95"/>
      <c r="E383" s="56" t="s">
        <v>88</v>
      </c>
      <c r="F383" s="16"/>
      <c r="G383" s="97"/>
      <c r="H383" s="98"/>
      <c r="I383" s="28"/>
    </row>
    <row r="384" spans="1:9" s="45" customFormat="1" ht="30" x14ac:dyDescent="0.2">
      <c r="A384" s="44"/>
      <c r="B384" s="44"/>
      <c r="C384" s="44"/>
      <c r="D384" s="95"/>
      <c r="E384" s="6" t="s">
        <v>727</v>
      </c>
      <c r="F384" s="16">
        <v>35073174</v>
      </c>
      <c r="G384" s="97">
        <v>96.6</v>
      </c>
      <c r="H384" s="98">
        <v>33866149</v>
      </c>
      <c r="I384" s="28">
        <f>100000-53364</f>
        <v>46636</v>
      </c>
    </row>
    <row r="385" spans="1:9" s="45" customFormat="1" ht="50.25" customHeight="1" x14ac:dyDescent="0.2">
      <c r="A385" s="44"/>
      <c r="B385" s="44"/>
      <c r="C385" s="44"/>
      <c r="D385" s="95"/>
      <c r="E385" s="6" t="s">
        <v>728</v>
      </c>
      <c r="F385" s="16">
        <v>58792790</v>
      </c>
      <c r="G385" s="97">
        <v>99.1</v>
      </c>
      <c r="H385" s="98">
        <v>58259699</v>
      </c>
      <c r="I385" s="28">
        <f>100000-53354</f>
        <v>46646</v>
      </c>
    </row>
    <row r="386" spans="1:9" s="45" customFormat="1" ht="31.5" customHeight="1" x14ac:dyDescent="0.2">
      <c r="A386" s="44"/>
      <c r="B386" s="44"/>
      <c r="C386" s="44"/>
      <c r="D386" s="95"/>
      <c r="E386" s="6" t="s">
        <v>2</v>
      </c>
      <c r="F386" s="16">
        <v>9295729</v>
      </c>
      <c r="G386" s="97">
        <v>59</v>
      </c>
      <c r="H386" s="98">
        <v>5487550</v>
      </c>
      <c r="I386" s="28">
        <f>3700000+5700000+5000000-5000000-686189-5000000</f>
        <v>3713811</v>
      </c>
    </row>
    <row r="387" spans="1:9" s="45" customFormat="1" ht="30" x14ac:dyDescent="0.2">
      <c r="A387" s="44"/>
      <c r="B387" s="44"/>
      <c r="C387" s="44"/>
      <c r="D387" s="95"/>
      <c r="E387" s="6" t="s">
        <v>3</v>
      </c>
      <c r="F387" s="16">
        <v>13828996</v>
      </c>
      <c r="G387" s="97">
        <v>98.8</v>
      </c>
      <c r="H387" s="98">
        <v>13658996</v>
      </c>
      <c r="I387" s="28">
        <f>3265798-3000000-95798</f>
        <v>170000</v>
      </c>
    </row>
    <row r="388" spans="1:9" s="45" customFormat="1" ht="15" x14ac:dyDescent="0.2">
      <c r="A388" s="44"/>
      <c r="B388" s="44"/>
      <c r="C388" s="44"/>
      <c r="D388" s="95"/>
      <c r="E388" s="56" t="s">
        <v>207</v>
      </c>
      <c r="F388" s="16"/>
      <c r="G388" s="97"/>
      <c r="H388" s="98"/>
      <c r="I388" s="28"/>
    </row>
    <row r="389" spans="1:9" s="45" customFormat="1" ht="45" x14ac:dyDescent="0.2">
      <c r="A389" s="44"/>
      <c r="B389" s="44"/>
      <c r="C389" s="44"/>
      <c r="D389" s="95"/>
      <c r="E389" s="6" t="s">
        <v>729</v>
      </c>
      <c r="F389" s="16">
        <v>65798399</v>
      </c>
      <c r="G389" s="97">
        <v>99.1</v>
      </c>
      <c r="H389" s="98">
        <v>65185058</v>
      </c>
      <c r="I389" s="28">
        <f>100000-72493</f>
        <v>27507</v>
      </c>
    </row>
    <row r="390" spans="1:9" s="45" customFormat="1" ht="34.5" customHeight="1" x14ac:dyDescent="0.2">
      <c r="A390" s="44"/>
      <c r="B390" s="44"/>
      <c r="C390" s="44"/>
      <c r="D390" s="95"/>
      <c r="E390" s="6" t="s">
        <v>730</v>
      </c>
      <c r="F390" s="16">
        <v>59535884</v>
      </c>
      <c r="G390" s="97">
        <v>97.8</v>
      </c>
      <c r="H390" s="98">
        <v>58221199</v>
      </c>
      <c r="I390" s="28">
        <f>100000-88640</f>
        <v>11360</v>
      </c>
    </row>
    <row r="391" spans="1:9" s="45" customFormat="1" ht="33.75" customHeight="1" x14ac:dyDescent="0.2">
      <c r="A391" s="44"/>
      <c r="B391" s="44"/>
      <c r="C391" s="44"/>
      <c r="D391" s="95"/>
      <c r="E391" s="6" t="s">
        <v>398</v>
      </c>
      <c r="F391" s="16">
        <v>57271324</v>
      </c>
      <c r="G391" s="97">
        <v>88.7</v>
      </c>
      <c r="H391" s="98">
        <v>50804988</v>
      </c>
      <c r="I391" s="28">
        <f>9482000-9000000+7000000+258830-2000000</f>
        <v>5740830</v>
      </c>
    </row>
    <row r="392" spans="1:9" s="45" customFormat="1" ht="49.5" customHeight="1" x14ac:dyDescent="0.2">
      <c r="A392" s="44"/>
      <c r="B392" s="44"/>
      <c r="C392" s="44"/>
      <c r="D392" s="95"/>
      <c r="E392" s="6" t="s">
        <v>577</v>
      </c>
      <c r="F392" s="16">
        <v>6112785</v>
      </c>
      <c r="G392" s="97">
        <v>95.6</v>
      </c>
      <c r="H392" s="98">
        <v>5845249</v>
      </c>
      <c r="I392" s="28">
        <f>163379-17698</f>
        <v>145681</v>
      </c>
    </row>
    <row r="393" spans="1:9" s="45" customFormat="1" ht="60" x14ac:dyDescent="0.2">
      <c r="A393" s="44"/>
      <c r="B393" s="44"/>
      <c r="C393" s="44"/>
      <c r="D393" s="95"/>
      <c r="E393" s="6" t="s">
        <v>798</v>
      </c>
      <c r="F393" s="16">
        <v>6406120</v>
      </c>
      <c r="G393" s="97">
        <v>95.5</v>
      </c>
      <c r="H393" s="98">
        <v>6115907</v>
      </c>
      <c r="I393" s="28">
        <f>156434-21413</f>
        <v>135021</v>
      </c>
    </row>
    <row r="394" spans="1:9" s="45" customFormat="1" ht="60.75" customHeight="1" x14ac:dyDescent="0.2">
      <c r="A394" s="44"/>
      <c r="B394" s="44"/>
      <c r="C394" s="44"/>
      <c r="D394" s="95"/>
      <c r="E394" s="6" t="s">
        <v>578</v>
      </c>
      <c r="F394" s="16">
        <v>13345696</v>
      </c>
      <c r="G394" s="97">
        <v>96.1</v>
      </c>
      <c r="H394" s="98">
        <v>12823833</v>
      </c>
      <c r="I394" s="28">
        <f>354416+11789+1788</f>
        <v>367993</v>
      </c>
    </row>
    <row r="395" spans="1:9" s="45" customFormat="1" ht="15" x14ac:dyDescent="0.2">
      <c r="A395" s="44"/>
      <c r="B395" s="44"/>
      <c r="C395" s="44"/>
      <c r="D395" s="95"/>
      <c r="E395" s="56" t="s">
        <v>208</v>
      </c>
      <c r="F395" s="16"/>
      <c r="G395" s="97"/>
      <c r="H395" s="98"/>
      <c r="I395" s="28"/>
    </row>
    <row r="396" spans="1:9" s="45" customFormat="1" ht="45" x14ac:dyDescent="0.2">
      <c r="A396" s="44"/>
      <c r="B396" s="44"/>
      <c r="C396" s="44"/>
      <c r="D396" s="95"/>
      <c r="E396" s="6" t="s">
        <v>731</v>
      </c>
      <c r="F396" s="16">
        <v>25889130</v>
      </c>
      <c r="G396" s="97">
        <v>4.8</v>
      </c>
      <c r="H396" s="98">
        <v>1232191</v>
      </c>
      <c r="I396" s="28">
        <v>3925749</v>
      </c>
    </row>
    <row r="397" spans="1:9" s="45" customFormat="1" ht="45" x14ac:dyDescent="0.2">
      <c r="A397" s="44"/>
      <c r="B397" s="44"/>
      <c r="C397" s="44"/>
      <c r="D397" s="95"/>
      <c r="E397" s="6" t="s">
        <v>732</v>
      </c>
      <c r="F397" s="16">
        <v>25303</v>
      </c>
      <c r="G397" s="97"/>
      <c r="H397" s="98"/>
      <c r="I397" s="28">
        <v>25303</v>
      </c>
    </row>
    <row r="398" spans="1:9" s="45" customFormat="1" ht="30" x14ac:dyDescent="0.2">
      <c r="A398" s="44"/>
      <c r="B398" s="44"/>
      <c r="C398" s="44"/>
      <c r="D398" s="95"/>
      <c r="E398" s="6" t="s">
        <v>579</v>
      </c>
      <c r="F398" s="16">
        <v>500000</v>
      </c>
      <c r="G398" s="97">
        <v>80</v>
      </c>
      <c r="H398" s="98">
        <v>400000</v>
      </c>
      <c r="I398" s="28">
        <v>100000</v>
      </c>
    </row>
    <row r="399" spans="1:9" s="45" customFormat="1" ht="15" x14ac:dyDescent="0.2">
      <c r="A399" s="44"/>
      <c r="B399" s="44"/>
      <c r="C399" s="44"/>
      <c r="D399" s="95"/>
      <c r="E399" s="56" t="s">
        <v>297</v>
      </c>
      <c r="F399" s="16"/>
      <c r="G399" s="97"/>
      <c r="H399" s="98"/>
      <c r="I399" s="28"/>
    </row>
    <row r="400" spans="1:9" s="45" customFormat="1" ht="45" x14ac:dyDescent="0.2">
      <c r="A400" s="44"/>
      <c r="B400" s="44"/>
      <c r="C400" s="44"/>
      <c r="D400" s="95"/>
      <c r="E400" s="6" t="s">
        <v>580</v>
      </c>
      <c r="F400" s="16">
        <v>15918464</v>
      </c>
      <c r="G400" s="97">
        <v>8.6999999999999993</v>
      </c>
      <c r="H400" s="98">
        <v>1383412</v>
      </c>
      <c r="I400" s="28">
        <f>2166461-875779</f>
        <v>1290682</v>
      </c>
    </row>
    <row r="401" spans="1:9" s="45" customFormat="1" ht="30" x14ac:dyDescent="0.2">
      <c r="A401" s="44"/>
      <c r="B401" s="44"/>
      <c r="C401" s="44"/>
      <c r="D401" s="95"/>
      <c r="E401" s="6" t="s">
        <v>581</v>
      </c>
      <c r="F401" s="16">
        <v>400000</v>
      </c>
      <c r="G401" s="97">
        <v>62.5</v>
      </c>
      <c r="H401" s="98">
        <v>250000</v>
      </c>
      <c r="I401" s="28">
        <v>150000</v>
      </c>
    </row>
    <row r="402" spans="1:9" s="45" customFormat="1" ht="30" x14ac:dyDescent="0.2">
      <c r="A402" s="44"/>
      <c r="B402" s="44"/>
      <c r="C402" s="44"/>
      <c r="D402" s="95"/>
      <c r="E402" s="6" t="s">
        <v>582</v>
      </c>
      <c r="F402" s="16">
        <v>400000</v>
      </c>
      <c r="G402" s="97">
        <v>62.5</v>
      </c>
      <c r="H402" s="98">
        <v>250000</v>
      </c>
      <c r="I402" s="28">
        <v>150000</v>
      </c>
    </row>
    <row r="403" spans="1:9" s="45" customFormat="1" ht="15" x14ac:dyDescent="0.2">
      <c r="A403" s="44"/>
      <c r="B403" s="44"/>
      <c r="C403" s="44"/>
      <c r="D403" s="95"/>
      <c r="E403" s="56" t="s">
        <v>149</v>
      </c>
      <c r="F403" s="16"/>
      <c r="G403" s="97"/>
      <c r="H403" s="98"/>
      <c r="I403" s="28"/>
    </row>
    <row r="404" spans="1:9" s="45" customFormat="1" ht="15" x14ac:dyDescent="0.2">
      <c r="A404" s="44"/>
      <c r="B404" s="44"/>
      <c r="C404" s="44"/>
      <c r="D404" s="95"/>
      <c r="E404" s="6" t="s">
        <v>228</v>
      </c>
      <c r="F404" s="16">
        <v>46760114</v>
      </c>
      <c r="G404" s="97">
        <v>20.100000000000001</v>
      </c>
      <c r="H404" s="98">
        <v>9401243</v>
      </c>
      <c r="I404" s="28">
        <f>10000000+5000000+1241034+10000000+10000000</f>
        <v>36241034</v>
      </c>
    </row>
    <row r="405" spans="1:9" s="45" customFormat="1" ht="30" x14ac:dyDescent="0.2">
      <c r="A405" s="44"/>
      <c r="B405" s="44"/>
      <c r="C405" s="44"/>
      <c r="D405" s="95"/>
      <c r="E405" s="6" t="s">
        <v>229</v>
      </c>
      <c r="F405" s="16">
        <v>11336124</v>
      </c>
      <c r="G405" s="97">
        <v>98.6</v>
      </c>
      <c r="H405" s="98">
        <v>11181526</v>
      </c>
      <c r="I405" s="28">
        <f>250000-234634</f>
        <v>15366</v>
      </c>
    </row>
    <row r="406" spans="1:9" s="45" customFormat="1" ht="56.25" customHeight="1" x14ac:dyDescent="0.2">
      <c r="A406" s="44"/>
      <c r="B406" s="44"/>
      <c r="C406" s="44"/>
      <c r="D406" s="95"/>
      <c r="E406" s="6" t="s">
        <v>733</v>
      </c>
      <c r="F406" s="16">
        <v>58432816</v>
      </c>
      <c r="G406" s="97">
        <v>97.7</v>
      </c>
      <c r="H406" s="98">
        <v>57099182</v>
      </c>
      <c r="I406" s="28">
        <f>100000-37908</f>
        <v>62092</v>
      </c>
    </row>
    <row r="407" spans="1:9" s="45" customFormat="1" ht="75" x14ac:dyDescent="0.2">
      <c r="A407" s="44"/>
      <c r="B407" s="44"/>
      <c r="C407" s="44"/>
      <c r="D407" s="95"/>
      <c r="E407" s="6" t="s">
        <v>734</v>
      </c>
      <c r="F407" s="16">
        <v>16308258</v>
      </c>
      <c r="G407" s="97">
        <v>98.9</v>
      </c>
      <c r="H407" s="98">
        <v>16124735</v>
      </c>
      <c r="I407" s="28">
        <f>100000-83445</f>
        <v>16555</v>
      </c>
    </row>
    <row r="408" spans="1:9" s="45" customFormat="1" ht="15" x14ac:dyDescent="0.2">
      <c r="A408" s="44"/>
      <c r="B408" s="44"/>
      <c r="C408" s="44"/>
      <c r="D408" s="95"/>
      <c r="E408" s="6" t="s">
        <v>230</v>
      </c>
      <c r="F408" s="16">
        <v>50314960</v>
      </c>
      <c r="G408" s="97">
        <v>57.2</v>
      </c>
      <c r="H408" s="98">
        <v>28783337</v>
      </c>
      <c r="I408" s="28">
        <f>7700000+3370000+10000000</f>
        <v>21070000</v>
      </c>
    </row>
    <row r="409" spans="1:9" s="45" customFormat="1" ht="60" x14ac:dyDescent="0.2">
      <c r="A409" s="44"/>
      <c r="B409" s="44"/>
      <c r="C409" s="44"/>
      <c r="D409" s="95"/>
      <c r="E409" s="6" t="s">
        <v>371</v>
      </c>
      <c r="F409" s="16">
        <v>12725326</v>
      </c>
      <c r="G409" s="97">
        <v>98.3</v>
      </c>
      <c r="H409" s="98">
        <v>12507870</v>
      </c>
      <c r="I409" s="28">
        <f>200000-184763</f>
        <v>15237</v>
      </c>
    </row>
    <row r="410" spans="1:9" s="45" customFormat="1" ht="15" x14ac:dyDescent="0.2">
      <c r="A410" s="44"/>
      <c r="B410" s="44"/>
      <c r="C410" s="44"/>
      <c r="D410" s="95"/>
      <c r="E410" s="56" t="s">
        <v>150</v>
      </c>
      <c r="F410" s="16"/>
      <c r="G410" s="97"/>
      <c r="H410" s="98"/>
      <c r="I410" s="28"/>
    </row>
    <row r="411" spans="1:9" s="45" customFormat="1" ht="45" x14ac:dyDescent="0.2">
      <c r="A411" s="44"/>
      <c r="B411" s="44"/>
      <c r="C411" s="44"/>
      <c r="D411" s="95"/>
      <c r="E411" s="6" t="s">
        <v>419</v>
      </c>
      <c r="F411" s="16">
        <v>16782844.010000002</v>
      </c>
      <c r="G411" s="97">
        <v>8.5</v>
      </c>
      <c r="H411" s="98">
        <v>1419132</v>
      </c>
      <c r="I411" s="28">
        <f>10100000+5000000</f>
        <v>15100000</v>
      </c>
    </row>
    <row r="412" spans="1:9" s="45" customFormat="1" ht="15" x14ac:dyDescent="0.2">
      <c r="A412" s="44"/>
      <c r="B412" s="44"/>
      <c r="C412" s="44"/>
      <c r="D412" s="95"/>
      <c r="E412" s="56" t="s">
        <v>420</v>
      </c>
      <c r="F412" s="16"/>
      <c r="G412" s="97"/>
      <c r="H412" s="98"/>
      <c r="I412" s="28"/>
    </row>
    <row r="413" spans="1:9" s="45" customFormat="1" ht="45" x14ac:dyDescent="0.2">
      <c r="A413" s="44"/>
      <c r="B413" s="44"/>
      <c r="C413" s="44"/>
      <c r="D413" s="95"/>
      <c r="E413" s="6" t="s">
        <v>583</v>
      </c>
      <c r="F413" s="16">
        <v>18250798</v>
      </c>
      <c r="G413" s="97">
        <v>99</v>
      </c>
      <c r="H413" s="98">
        <v>18068347</v>
      </c>
      <c r="I413" s="28">
        <f>1000000-963652</f>
        <v>36348</v>
      </c>
    </row>
    <row r="414" spans="1:9" s="45" customFormat="1" ht="60" x14ac:dyDescent="0.2">
      <c r="A414" s="44"/>
      <c r="B414" s="44"/>
      <c r="C414" s="44"/>
      <c r="D414" s="95"/>
      <c r="E414" s="6" t="s">
        <v>799</v>
      </c>
      <c r="F414" s="16">
        <v>1116542</v>
      </c>
      <c r="G414" s="97">
        <v>3.9</v>
      </c>
      <c r="H414" s="98">
        <v>43272</v>
      </c>
      <c r="I414" s="28">
        <f>15000-2912</f>
        <v>12088</v>
      </c>
    </row>
    <row r="415" spans="1:9" s="45" customFormat="1" ht="15" x14ac:dyDescent="0.2">
      <c r="A415" s="44"/>
      <c r="B415" s="44"/>
      <c r="C415" s="44"/>
      <c r="D415" s="95"/>
      <c r="E415" s="8" t="s">
        <v>129</v>
      </c>
      <c r="F415" s="20"/>
      <c r="G415" s="99"/>
      <c r="H415" s="100"/>
      <c r="I415" s="29">
        <v>3619</v>
      </c>
    </row>
    <row r="416" spans="1:9" s="45" customFormat="1" ht="15" x14ac:dyDescent="0.2">
      <c r="A416" s="44"/>
      <c r="B416" s="44"/>
      <c r="C416" s="44"/>
      <c r="D416" s="95"/>
      <c r="E416" s="56" t="s">
        <v>231</v>
      </c>
      <c r="F416" s="16"/>
      <c r="G416" s="97"/>
      <c r="H416" s="98"/>
      <c r="I416" s="28"/>
    </row>
    <row r="417" spans="1:9" s="45" customFormat="1" ht="30" x14ac:dyDescent="0.2">
      <c r="A417" s="44"/>
      <c r="B417" s="44"/>
      <c r="C417" s="44"/>
      <c r="D417" s="95"/>
      <c r="E417" s="6" t="s">
        <v>584</v>
      </c>
      <c r="F417" s="16">
        <v>44354472</v>
      </c>
      <c r="G417" s="97">
        <v>45.3</v>
      </c>
      <c r="H417" s="98">
        <v>20073366</v>
      </c>
      <c r="I417" s="28">
        <f>4000000+5000000+3000000+5000000+5000000</f>
        <v>22000000</v>
      </c>
    </row>
    <row r="418" spans="1:9" s="45" customFormat="1" ht="30" x14ac:dyDescent="0.2">
      <c r="A418" s="44"/>
      <c r="B418" s="44"/>
      <c r="C418" s="44"/>
      <c r="D418" s="95"/>
      <c r="E418" s="6" t="s">
        <v>369</v>
      </c>
      <c r="F418" s="16">
        <v>16898496</v>
      </c>
      <c r="G418" s="97">
        <v>98.9</v>
      </c>
      <c r="H418" s="98">
        <v>16719258</v>
      </c>
      <c r="I418" s="28">
        <f>100000-89384</f>
        <v>10616</v>
      </c>
    </row>
    <row r="419" spans="1:9" s="45" customFormat="1" ht="30" x14ac:dyDescent="0.2">
      <c r="A419" s="44"/>
      <c r="B419" s="44"/>
      <c r="C419" s="44"/>
      <c r="D419" s="95"/>
      <c r="E419" s="6" t="s">
        <v>402</v>
      </c>
      <c r="F419" s="16">
        <v>12829573</v>
      </c>
      <c r="G419" s="97">
        <v>98.8</v>
      </c>
      <c r="H419" s="98">
        <v>12674994</v>
      </c>
      <c r="I419" s="28">
        <f>100000-89384</f>
        <v>10616</v>
      </c>
    </row>
    <row r="420" spans="1:9" s="45" customFormat="1" ht="15" x14ac:dyDescent="0.2">
      <c r="A420" s="44"/>
      <c r="B420" s="44"/>
      <c r="C420" s="44"/>
      <c r="D420" s="95"/>
      <c r="E420" s="56" t="s">
        <v>367</v>
      </c>
      <c r="F420" s="16"/>
      <c r="G420" s="97"/>
      <c r="H420" s="98"/>
      <c r="I420" s="28"/>
    </row>
    <row r="421" spans="1:9" s="45" customFormat="1" ht="45" x14ac:dyDescent="0.2">
      <c r="A421" s="44"/>
      <c r="B421" s="44"/>
      <c r="C421" s="44"/>
      <c r="D421" s="95"/>
      <c r="E421" s="6" t="s">
        <v>585</v>
      </c>
      <c r="F421" s="16">
        <v>109180572</v>
      </c>
      <c r="G421" s="97">
        <v>50.3</v>
      </c>
      <c r="H421" s="98">
        <v>54937483</v>
      </c>
      <c r="I421" s="28">
        <f>25000000+15346000-5000000</f>
        <v>35346000</v>
      </c>
    </row>
    <row r="422" spans="1:9" s="45" customFormat="1" ht="63" x14ac:dyDescent="0.2">
      <c r="A422" s="44"/>
      <c r="B422" s="44"/>
      <c r="C422" s="44"/>
      <c r="D422" s="95"/>
      <c r="E422" s="6" t="s">
        <v>586</v>
      </c>
      <c r="F422" s="16">
        <v>21194712</v>
      </c>
      <c r="G422" s="97">
        <v>97.8</v>
      </c>
      <c r="H422" s="98">
        <v>20724560</v>
      </c>
      <c r="I422" s="28">
        <f>5100000-5000000-82226-10616</f>
        <v>7158</v>
      </c>
    </row>
    <row r="423" spans="1:9" s="45" customFormat="1" ht="30" x14ac:dyDescent="0.2">
      <c r="A423" s="44"/>
      <c r="B423" s="44"/>
      <c r="C423" s="44"/>
      <c r="D423" s="95"/>
      <c r="E423" s="6" t="s">
        <v>46</v>
      </c>
      <c r="F423" s="16">
        <v>10553757</v>
      </c>
      <c r="G423" s="97">
        <v>96.2</v>
      </c>
      <c r="H423" s="98">
        <v>10149522</v>
      </c>
      <c r="I423" s="28">
        <f>354733-79283</f>
        <v>275450</v>
      </c>
    </row>
    <row r="424" spans="1:9" s="45" customFormat="1" ht="45" x14ac:dyDescent="0.2">
      <c r="A424" s="44"/>
      <c r="B424" s="44"/>
      <c r="C424" s="44"/>
      <c r="D424" s="95"/>
      <c r="E424" s="6" t="s">
        <v>364</v>
      </c>
      <c r="F424" s="16">
        <v>8268062</v>
      </c>
      <c r="G424" s="97">
        <v>1.9</v>
      </c>
      <c r="H424" s="98">
        <v>159860</v>
      </c>
      <c r="I424" s="28">
        <f>6287402+185022</f>
        <v>6472424</v>
      </c>
    </row>
    <row r="425" spans="1:9" s="45" customFormat="1" ht="45" x14ac:dyDescent="0.2">
      <c r="A425" s="44"/>
      <c r="B425" s="44"/>
      <c r="C425" s="44"/>
      <c r="D425" s="95"/>
      <c r="E425" s="6" t="s">
        <v>735</v>
      </c>
      <c r="F425" s="16">
        <v>8219860</v>
      </c>
      <c r="G425" s="97">
        <v>3.2</v>
      </c>
      <c r="H425" s="98">
        <v>259625</v>
      </c>
      <c r="I425" s="28">
        <f>2660000-29350</f>
        <v>2630650</v>
      </c>
    </row>
    <row r="426" spans="1:9" s="45" customFormat="1" ht="45" x14ac:dyDescent="0.2">
      <c r="A426" s="44"/>
      <c r="B426" s="44"/>
      <c r="C426" s="44"/>
      <c r="D426" s="95"/>
      <c r="E426" s="6" t="s">
        <v>736</v>
      </c>
      <c r="F426" s="16">
        <v>397822</v>
      </c>
      <c r="G426" s="97"/>
      <c r="H426" s="98"/>
      <c r="I426" s="28">
        <v>397822</v>
      </c>
    </row>
    <row r="427" spans="1:9" s="45" customFormat="1" ht="75" x14ac:dyDescent="0.2">
      <c r="A427" s="44"/>
      <c r="B427" s="44"/>
      <c r="C427" s="44"/>
      <c r="D427" s="95"/>
      <c r="E427" s="6" t="s">
        <v>739</v>
      </c>
      <c r="F427" s="16">
        <v>247751</v>
      </c>
      <c r="G427" s="97"/>
      <c r="H427" s="98"/>
      <c r="I427" s="28">
        <f>100000+147751</f>
        <v>247751</v>
      </c>
    </row>
    <row r="428" spans="1:9" s="45" customFormat="1" ht="15" x14ac:dyDescent="0.2">
      <c r="A428" s="44"/>
      <c r="B428" s="44"/>
      <c r="C428" s="44"/>
      <c r="D428" s="95"/>
      <c r="E428" s="56" t="s">
        <v>310</v>
      </c>
      <c r="F428" s="16"/>
      <c r="G428" s="97"/>
      <c r="H428" s="98"/>
      <c r="I428" s="28"/>
    </row>
    <row r="429" spans="1:9" s="45" customFormat="1" ht="45" x14ac:dyDescent="0.2">
      <c r="A429" s="44"/>
      <c r="B429" s="44"/>
      <c r="C429" s="44"/>
      <c r="D429" s="95"/>
      <c r="E429" s="6" t="s">
        <v>737</v>
      </c>
      <c r="F429" s="16">
        <v>1052334</v>
      </c>
      <c r="G429" s="97"/>
      <c r="H429" s="98"/>
      <c r="I429" s="28">
        <v>1052334</v>
      </c>
    </row>
    <row r="430" spans="1:9" s="45" customFormat="1" ht="30" x14ac:dyDescent="0.2">
      <c r="A430" s="44"/>
      <c r="B430" s="44"/>
      <c r="C430" s="44"/>
      <c r="D430" s="95"/>
      <c r="E430" s="6" t="s">
        <v>47</v>
      </c>
      <c r="F430" s="16">
        <v>17426839</v>
      </c>
      <c r="G430" s="97">
        <v>96.3</v>
      </c>
      <c r="H430" s="98">
        <v>16790129</v>
      </c>
      <c r="I430" s="28">
        <f>575062-136989</f>
        <v>438073</v>
      </c>
    </row>
    <row r="431" spans="1:9" s="45" customFormat="1" ht="60" x14ac:dyDescent="0.2">
      <c r="A431" s="44"/>
      <c r="B431" s="44"/>
      <c r="C431" s="44"/>
      <c r="D431" s="95"/>
      <c r="E431" s="86" t="s">
        <v>738</v>
      </c>
      <c r="F431" s="16">
        <v>47999365</v>
      </c>
      <c r="G431" s="97">
        <v>79.8</v>
      </c>
      <c r="H431" s="98">
        <v>38289365</v>
      </c>
      <c r="I431" s="28">
        <f>7000000+2500000-3000000</f>
        <v>6500000</v>
      </c>
    </row>
    <row r="432" spans="1:9" s="45" customFormat="1" ht="30" x14ac:dyDescent="0.2">
      <c r="A432" s="44"/>
      <c r="B432" s="44"/>
      <c r="C432" s="44"/>
      <c r="D432" s="95"/>
      <c r="E432" s="6" t="s">
        <v>587</v>
      </c>
      <c r="F432" s="16">
        <v>52783028</v>
      </c>
      <c r="G432" s="97">
        <v>98.9</v>
      </c>
      <c r="H432" s="98">
        <v>52181942</v>
      </c>
      <c r="I432" s="28">
        <f>100000-50000</f>
        <v>50000</v>
      </c>
    </row>
    <row r="433" spans="1:9" s="45" customFormat="1" ht="30" x14ac:dyDescent="0.2">
      <c r="A433" s="44"/>
      <c r="B433" s="44"/>
      <c r="C433" s="44"/>
      <c r="D433" s="95"/>
      <c r="E433" s="6" t="s">
        <v>588</v>
      </c>
      <c r="F433" s="16">
        <v>52537780</v>
      </c>
      <c r="G433" s="97">
        <v>58.4</v>
      </c>
      <c r="H433" s="98">
        <v>30696536</v>
      </c>
      <c r="I433" s="28">
        <f>6000000+10000000-5000000+2000000</f>
        <v>13000000</v>
      </c>
    </row>
    <row r="434" spans="1:9" s="45" customFormat="1" ht="30" x14ac:dyDescent="0.2">
      <c r="A434" s="44"/>
      <c r="B434" s="44"/>
      <c r="C434" s="44"/>
      <c r="D434" s="95"/>
      <c r="E434" s="6" t="s">
        <v>740</v>
      </c>
      <c r="F434" s="16">
        <v>95632273</v>
      </c>
      <c r="G434" s="97">
        <v>46.2</v>
      </c>
      <c r="H434" s="98">
        <v>44153536</v>
      </c>
      <c r="I434" s="28">
        <f>18365700+15000000</f>
        <v>33365700</v>
      </c>
    </row>
    <row r="435" spans="1:9" s="45" customFormat="1" ht="62.25" x14ac:dyDescent="0.2">
      <c r="A435" s="44"/>
      <c r="B435" s="44"/>
      <c r="C435" s="44"/>
      <c r="D435" s="95"/>
      <c r="E435" s="6" t="s">
        <v>179</v>
      </c>
      <c r="F435" s="16">
        <v>6768385</v>
      </c>
      <c r="G435" s="97">
        <v>8.9</v>
      </c>
      <c r="H435" s="98">
        <v>600429</v>
      </c>
      <c r="I435" s="28">
        <v>3500000</v>
      </c>
    </row>
    <row r="436" spans="1:9" s="45" customFormat="1" ht="45" x14ac:dyDescent="0.2">
      <c r="A436" s="44"/>
      <c r="B436" s="44"/>
      <c r="C436" s="44"/>
      <c r="D436" s="95"/>
      <c r="E436" s="6" t="s">
        <v>365</v>
      </c>
      <c r="F436" s="16">
        <v>28086407</v>
      </c>
      <c r="G436" s="97">
        <v>20.3</v>
      </c>
      <c r="H436" s="98">
        <v>5702982</v>
      </c>
      <c r="I436" s="28">
        <f>6700000+3500000+3000000+2000000</f>
        <v>15200000</v>
      </c>
    </row>
    <row r="437" spans="1:9" s="45" customFormat="1" ht="60" x14ac:dyDescent="0.2">
      <c r="A437" s="44"/>
      <c r="B437" s="44"/>
      <c r="C437" s="44"/>
      <c r="D437" s="95"/>
      <c r="E437" s="6" t="s">
        <v>800</v>
      </c>
      <c r="F437" s="16">
        <v>456678</v>
      </c>
      <c r="G437" s="97">
        <v>97.015840482790935</v>
      </c>
      <c r="H437" s="98">
        <v>443050</v>
      </c>
      <c r="I437" s="28">
        <v>13628</v>
      </c>
    </row>
    <row r="438" spans="1:9" s="45" customFormat="1" ht="60" x14ac:dyDescent="0.2">
      <c r="A438" s="44"/>
      <c r="B438" s="44"/>
      <c r="C438" s="44"/>
      <c r="D438" s="95"/>
      <c r="E438" s="63" t="s">
        <v>589</v>
      </c>
      <c r="F438" s="16">
        <v>58352619</v>
      </c>
      <c r="G438" s="97">
        <v>9.4</v>
      </c>
      <c r="H438" s="98">
        <v>5462410</v>
      </c>
      <c r="I438" s="28">
        <v>34700000</v>
      </c>
    </row>
    <row r="439" spans="1:9" s="45" customFormat="1" ht="75" x14ac:dyDescent="0.2">
      <c r="A439" s="44"/>
      <c r="B439" s="44"/>
      <c r="C439" s="44"/>
      <c r="D439" s="95"/>
      <c r="E439" s="6" t="s">
        <v>801</v>
      </c>
      <c r="F439" s="16">
        <v>58074609</v>
      </c>
      <c r="G439" s="97">
        <v>9.1</v>
      </c>
      <c r="H439" s="98">
        <v>5261619</v>
      </c>
      <c r="I439" s="28">
        <f>31286763+4000000</f>
        <v>35286763</v>
      </c>
    </row>
    <row r="440" spans="1:9" s="45" customFormat="1" ht="30" x14ac:dyDescent="0.2">
      <c r="A440" s="44"/>
      <c r="B440" s="44"/>
      <c r="C440" s="44"/>
      <c r="D440" s="95"/>
      <c r="E440" s="6" t="s">
        <v>145</v>
      </c>
      <c r="F440" s="16">
        <v>64717270</v>
      </c>
      <c r="G440" s="97">
        <v>98.9</v>
      </c>
      <c r="H440" s="98">
        <v>64025889</v>
      </c>
      <c r="I440" s="28">
        <f>1100000-408619</f>
        <v>691381</v>
      </c>
    </row>
    <row r="441" spans="1:9" s="45" customFormat="1" ht="30" x14ac:dyDescent="0.2">
      <c r="A441" s="44"/>
      <c r="B441" s="44"/>
      <c r="C441" s="44"/>
      <c r="D441" s="95"/>
      <c r="E441" s="6" t="s">
        <v>590</v>
      </c>
      <c r="F441" s="16">
        <v>55283728</v>
      </c>
      <c r="G441" s="97">
        <v>98.8</v>
      </c>
      <c r="H441" s="98">
        <v>54627628</v>
      </c>
      <c r="I441" s="28">
        <f>100000-48236</f>
        <v>51764</v>
      </c>
    </row>
    <row r="442" spans="1:9" s="45" customFormat="1" ht="60" x14ac:dyDescent="0.2">
      <c r="A442" s="44"/>
      <c r="B442" s="44"/>
      <c r="C442" s="44"/>
      <c r="D442" s="95"/>
      <c r="E442" s="6" t="s">
        <v>802</v>
      </c>
      <c r="F442" s="16">
        <v>103391177</v>
      </c>
      <c r="G442" s="97">
        <v>75.723266986311614</v>
      </c>
      <c r="H442" s="98">
        <v>78291177</v>
      </c>
      <c r="I442" s="28">
        <v>100000</v>
      </c>
    </row>
    <row r="443" spans="1:9" s="45" customFormat="1" ht="15" x14ac:dyDescent="0.2">
      <c r="A443" s="44"/>
      <c r="B443" s="44"/>
      <c r="C443" s="44"/>
      <c r="D443" s="95"/>
      <c r="E443" s="56" t="s">
        <v>146</v>
      </c>
      <c r="F443" s="16"/>
      <c r="G443" s="97"/>
      <c r="H443" s="98"/>
      <c r="I443" s="28"/>
    </row>
    <row r="444" spans="1:9" s="45" customFormat="1" ht="40.5" customHeight="1" x14ac:dyDescent="0.2">
      <c r="A444" s="44"/>
      <c r="B444" s="44"/>
      <c r="C444" s="44"/>
      <c r="D444" s="95"/>
      <c r="E444" s="6" t="s">
        <v>591</v>
      </c>
      <c r="F444" s="16">
        <v>40106671</v>
      </c>
      <c r="G444" s="97">
        <v>2.9</v>
      </c>
      <c r="H444" s="98">
        <v>1157109</v>
      </c>
      <c r="I444" s="28">
        <f>13000000+4000000+264806</f>
        <v>17264806</v>
      </c>
    </row>
    <row r="445" spans="1:9" s="45" customFormat="1" ht="15" x14ac:dyDescent="0.2">
      <c r="A445" s="44"/>
      <c r="B445" s="44"/>
      <c r="C445" s="44"/>
      <c r="D445" s="95"/>
      <c r="E445" s="56" t="s">
        <v>396</v>
      </c>
      <c r="F445" s="16"/>
      <c r="G445" s="97"/>
      <c r="H445" s="98"/>
      <c r="I445" s="28"/>
    </row>
    <row r="446" spans="1:9" s="45" customFormat="1" ht="62.25" customHeight="1" x14ac:dyDescent="0.2">
      <c r="A446" s="44"/>
      <c r="B446" s="44"/>
      <c r="C446" s="44"/>
      <c r="D446" s="95"/>
      <c r="E446" s="6" t="s">
        <v>486</v>
      </c>
      <c r="F446" s="16">
        <v>7518098</v>
      </c>
      <c r="G446" s="97">
        <v>98.5</v>
      </c>
      <c r="H446" s="98">
        <v>7404672</v>
      </c>
      <c r="I446" s="28">
        <f>200000+7000000-107748-7081636</f>
        <v>10616</v>
      </c>
    </row>
    <row r="447" spans="1:9" s="45" customFormat="1" ht="15" x14ac:dyDescent="0.2">
      <c r="A447" s="44"/>
      <c r="B447" s="44"/>
      <c r="C447" s="44"/>
      <c r="D447" s="95"/>
      <c r="E447" s="56" t="s">
        <v>397</v>
      </c>
      <c r="F447" s="16"/>
      <c r="G447" s="97"/>
      <c r="H447" s="98"/>
      <c r="I447" s="28"/>
    </row>
    <row r="448" spans="1:9" s="45" customFormat="1" ht="30" x14ac:dyDescent="0.2">
      <c r="A448" s="44"/>
      <c r="B448" s="44"/>
      <c r="C448" s="44"/>
      <c r="D448" s="95"/>
      <c r="E448" s="6" t="s">
        <v>592</v>
      </c>
      <c r="F448" s="16">
        <v>70000000</v>
      </c>
      <c r="G448" s="97">
        <v>5.5</v>
      </c>
      <c r="H448" s="98">
        <v>3815146</v>
      </c>
      <c r="I448" s="28">
        <f>19527000+3370000+10000000+5000000+10000000+18000000</f>
        <v>65897000</v>
      </c>
    </row>
    <row r="449" spans="1:9" s="45" customFormat="1" ht="45" x14ac:dyDescent="0.2">
      <c r="A449" s="44"/>
      <c r="B449" s="44"/>
      <c r="C449" s="44"/>
      <c r="D449" s="95"/>
      <c r="E449" s="6" t="s">
        <v>593</v>
      </c>
      <c r="F449" s="16">
        <v>35000000</v>
      </c>
      <c r="G449" s="97">
        <v>19</v>
      </c>
      <c r="H449" s="98">
        <v>6636975</v>
      </c>
      <c r="I449" s="28">
        <f>3100000+5000000+5000000+10000000+5093087</f>
        <v>28193087</v>
      </c>
    </row>
    <row r="450" spans="1:9" s="45" customFormat="1" ht="30" x14ac:dyDescent="0.2">
      <c r="A450" s="44"/>
      <c r="B450" s="44"/>
      <c r="C450" s="44"/>
      <c r="D450" s="95"/>
      <c r="E450" s="6" t="s">
        <v>594</v>
      </c>
      <c r="F450" s="16">
        <v>4546291</v>
      </c>
      <c r="G450" s="97"/>
      <c r="H450" s="98"/>
      <c r="I450" s="28">
        <v>200000</v>
      </c>
    </row>
    <row r="451" spans="1:9" s="45" customFormat="1" ht="15" x14ac:dyDescent="0.2">
      <c r="A451" s="44"/>
      <c r="B451" s="44"/>
      <c r="C451" s="44"/>
      <c r="D451" s="95"/>
      <c r="E451" s="8" t="s">
        <v>129</v>
      </c>
      <c r="F451" s="20"/>
      <c r="G451" s="99"/>
      <c r="H451" s="100"/>
      <c r="I451" s="29">
        <v>190359</v>
      </c>
    </row>
    <row r="452" spans="1:9" s="45" customFormat="1" ht="15" x14ac:dyDescent="0.2">
      <c r="A452" s="44"/>
      <c r="B452" s="44"/>
      <c r="C452" s="44"/>
      <c r="D452" s="95"/>
      <c r="E452" s="56" t="s">
        <v>454</v>
      </c>
      <c r="F452" s="16"/>
      <c r="G452" s="97"/>
      <c r="H452" s="98"/>
      <c r="I452" s="28"/>
    </row>
    <row r="453" spans="1:9" s="45" customFormat="1" ht="45" x14ac:dyDescent="0.2">
      <c r="A453" s="44"/>
      <c r="B453" s="44"/>
      <c r="C453" s="44"/>
      <c r="D453" s="95"/>
      <c r="E453" s="6" t="s">
        <v>595</v>
      </c>
      <c r="F453" s="16">
        <v>12516782</v>
      </c>
      <c r="G453" s="97">
        <v>16.899999999999999</v>
      </c>
      <c r="H453" s="98">
        <v>2115627</v>
      </c>
      <c r="I453" s="28">
        <f>5201155+5000000</f>
        <v>10201155</v>
      </c>
    </row>
    <row r="454" spans="1:9" s="45" customFormat="1" ht="15" x14ac:dyDescent="0.2">
      <c r="A454" s="44"/>
      <c r="B454" s="44"/>
      <c r="C454" s="44"/>
      <c r="D454" s="95"/>
      <c r="E454" s="56" t="s">
        <v>409</v>
      </c>
      <c r="F454" s="16"/>
      <c r="G454" s="97"/>
      <c r="H454" s="98"/>
      <c r="I454" s="28"/>
    </row>
    <row r="455" spans="1:9" s="45" customFormat="1" ht="30" x14ac:dyDescent="0.2">
      <c r="A455" s="44"/>
      <c r="B455" s="44"/>
      <c r="C455" s="44"/>
      <c r="D455" s="95"/>
      <c r="E455" s="6" t="s">
        <v>596</v>
      </c>
      <c r="F455" s="16">
        <v>53073317</v>
      </c>
      <c r="G455" s="97">
        <v>98</v>
      </c>
      <c r="H455" s="98">
        <v>52002611</v>
      </c>
      <c r="I455" s="28">
        <f>100000-90000</f>
        <v>10000</v>
      </c>
    </row>
    <row r="456" spans="1:9" s="45" customFormat="1" ht="30.75" customHeight="1" x14ac:dyDescent="0.2">
      <c r="A456" s="44"/>
      <c r="B456" s="44"/>
      <c r="C456" s="44"/>
      <c r="D456" s="95"/>
      <c r="E456" s="6" t="s">
        <v>597</v>
      </c>
      <c r="F456" s="16">
        <v>35417961</v>
      </c>
      <c r="G456" s="97">
        <v>75.2</v>
      </c>
      <c r="H456" s="98">
        <v>26632121</v>
      </c>
      <c r="I456" s="28">
        <f>9000000-5000000</f>
        <v>4000000</v>
      </c>
    </row>
    <row r="457" spans="1:9" s="45" customFormat="1" ht="15" x14ac:dyDescent="0.2">
      <c r="A457" s="44"/>
      <c r="B457" s="44"/>
      <c r="C457" s="44"/>
      <c r="D457" s="95"/>
      <c r="E457" s="56" t="s">
        <v>312</v>
      </c>
      <c r="F457" s="16"/>
      <c r="G457" s="97"/>
      <c r="H457" s="98"/>
      <c r="I457" s="28"/>
    </row>
    <row r="458" spans="1:9" s="45" customFormat="1" ht="45" x14ac:dyDescent="0.2">
      <c r="A458" s="44"/>
      <c r="B458" s="44"/>
      <c r="C458" s="44"/>
      <c r="D458" s="95"/>
      <c r="E458" s="6" t="s">
        <v>366</v>
      </c>
      <c r="F458" s="16">
        <v>89424055</v>
      </c>
      <c r="G458" s="97">
        <v>98.2</v>
      </c>
      <c r="H458" s="98">
        <v>87847754</v>
      </c>
      <c r="I458" s="28">
        <f>1164534-107883</f>
        <v>1056651</v>
      </c>
    </row>
    <row r="459" spans="1:9" s="45" customFormat="1" ht="45" x14ac:dyDescent="0.2">
      <c r="A459" s="44"/>
      <c r="B459" s="44"/>
      <c r="C459" s="44"/>
      <c r="D459" s="95"/>
      <c r="E459" s="6" t="s">
        <v>7</v>
      </c>
      <c r="F459" s="16">
        <v>29786688.279999997</v>
      </c>
      <c r="G459" s="97">
        <v>11.9</v>
      </c>
      <c r="H459" s="98">
        <v>3555721</v>
      </c>
      <c r="I459" s="28">
        <f>100000+5000000</f>
        <v>5100000</v>
      </c>
    </row>
    <row r="460" spans="1:9" s="45" customFormat="1" ht="45" x14ac:dyDescent="0.2">
      <c r="A460" s="44"/>
      <c r="B460" s="44"/>
      <c r="C460" s="44"/>
      <c r="D460" s="95"/>
      <c r="E460" s="6" t="s">
        <v>598</v>
      </c>
      <c r="F460" s="16">
        <v>475295</v>
      </c>
      <c r="G460" s="97"/>
      <c r="H460" s="98"/>
      <c r="I460" s="28">
        <f>100000+375295</f>
        <v>475295</v>
      </c>
    </row>
    <row r="461" spans="1:9" s="45" customFormat="1" ht="15" x14ac:dyDescent="0.2">
      <c r="A461" s="44"/>
      <c r="B461" s="44"/>
      <c r="C461" s="44"/>
      <c r="D461" s="95"/>
      <c r="E461" s="56" t="s">
        <v>8</v>
      </c>
      <c r="F461" s="16"/>
      <c r="G461" s="97"/>
      <c r="H461" s="98"/>
      <c r="I461" s="28"/>
    </row>
    <row r="462" spans="1:9" s="45" customFormat="1" ht="30" x14ac:dyDescent="0.2">
      <c r="A462" s="44"/>
      <c r="B462" s="44"/>
      <c r="C462" s="44"/>
      <c r="D462" s="95"/>
      <c r="E462" s="6" t="s">
        <v>599</v>
      </c>
      <c r="F462" s="16">
        <v>13997221</v>
      </c>
      <c r="G462" s="97">
        <v>99.3</v>
      </c>
      <c r="H462" s="98">
        <v>13896823</v>
      </c>
      <c r="I462" s="28">
        <f>100000-83354-10616</f>
        <v>6030</v>
      </c>
    </row>
    <row r="463" spans="1:9" s="45" customFormat="1" ht="15" x14ac:dyDescent="0.2">
      <c r="A463" s="44"/>
      <c r="B463" s="44"/>
      <c r="C463" s="44"/>
      <c r="D463" s="95"/>
      <c r="E463" s="56" t="s">
        <v>9</v>
      </c>
      <c r="F463" s="16"/>
      <c r="G463" s="97"/>
      <c r="H463" s="98"/>
      <c r="I463" s="28"/>
    </row>
    <row r="464" spans="1:9" s="45" customFormat="1" ht="51.75" customHeight="1" x14ac:dyDescent="0.2">
      <c r="A464" s="44"/>
      <c r="B464" s="44"/>
      <c r="C464" s="44"/>
      <c r="D464" s="95"/>
      <c r="E464" s="6" t="s">
        <v>600</v>
      </c>
      <c r="F464" s="16">
        <v>20485194</v>
      </c>
      <c r="G464" s="97"/>
      <c r="H464" s="98"/>
      <c r="I464" s="28">
        <f>11500000+6486000</f>
        <v>17986000</v>
      </c>
    </row>
    <row r="465" spans="1:9" s="45" customFormat="1" ht="75" x14ac:dyDescent="0.2">
      <c r="A465" s="44"/>
      <c r="B465" s="44"/>
      <c r="C465" s="44"/>
      <c r="D465" s="95"/>
      <c r="E465" s="6" t="s">
        <v>741</v>
      </c>
      <c r="F465" s="16">
        <v>11903754</v>
      </c>
      <c r="G465" s="97">
        <v>4.0999999999999996</v>
      </c>
      <c r="H465" s="98">
        <v>487828</v>
      </c>
      <c r="I465" s="28">
        <f>300000+65000</f>
        <v>365000</v>
      </c>
    </row>
    <row r="466" spans="1:9" s="45" customFormat="1" ht="15" x14ac:dyDescent="0.2">
      <c r="A466" s="44"/>
      <c r="B466" s="44"/>
      <c r="C466" s="44"/>
      <c r="D466" s="95"/>
      <c r="E466" s="56" t="s">
        <v>10</v>
      </c>
      <c r="F466" s="16"/>
      <c r="G466" s="97"/>
      <c r="H466" s="98"/>
      <c r="I466" s="28"/>
    </row>
    <row r="467" spans="1:9" s="45" customFormat="1" ht="45" x14ac:dyDescent="0.2">
      <c r="A467" s="44"/>
      <c r="B467" s="44"/>
      <c r="C467" s="44"/>
      <c r="D467" s="95"/>
      <c r="E467" s="6" t="s">
        <v>601</v>
      </c>
      <c r="F467" s="16">
        <v>20574267</v>
      </c>
      <c r="G467" s="97">
        <v>96.5</v>
      </c>
      <c r="H467" s="98">
        <v>19847584</v>
      </c>
      <c r="I467" s="28">
        <f>1100000-608672</f>
        <v>491328</v>
      </c>
    </row>
    <row r="468" spans="1:9" s="45" customFormat="1" ht="15" x14ac:dyDescent="0.2">
      <c r="A468" s="44"/>
      <c r="B468" s="44"/>
      <c r="C468" s="44"/>
      <c r="D468" s="95"/>
      <c r="E468" s="56" t="s">
        <v>679</v>
      </c>
      <c r="F468" s="16"/>
      <c r="G468" s="97"/>
      <c r="H468" s="98"/>
      <c r="I468" s="28"/>
    </row>
    <row r="469" spans="1:9" s="45" customFormat="1" ht="30" x14ac:dyDescent="0.2">
      <c r="A469" s="44"/>
      <c r="B469" s="44"/>
      <c r="C469" s="44"/>
      <c r="D469" s="95"/>
      <c r="E469" s="6" t="s">
        <v>11</v>
      </c>
      <c r="F469" s="16">
        <v>68152629</v>
      </c>
      <c r="G469" s="97">
        <v>99.1</v>
      </c>
      <c r="H469" s="98">
        <v>67532572</v>
      </c>
      <c r="I469" s="28">
        <f>100000-50000</f>
        <v>50000</v>
      </c>
    </row>
    <row r="470" spans="1:9" s="45" customFormat="1" ht="36.75" customHeight="1" x14ac:dyDescent="0.2">
      <c r="A470" s="44"/>
      <c r="B470" s="44"/>
      <c r="C470" s="44"/>
      <c r="D470" s="95"/>
      <c r="E470" s="6" t="s">
        <v>334</v>
      </c>
      <c r="F470" s="16">
        <v>6729683</v>
      </c>
      <c r="G470" s="97">
        <v>50.1</v>
      </c>
      <c r="H470" s="98">
        <v>3372055</v>
      </c>
      <c r="I470" s="28">
        <f>1100000+2000000</f>
        <v>3100000</v>
      </c>
    </row>
    <row r="471" spans="1:9" s="45" customFormat="1" ht="15" x14ac:dyDescent="0.2">
      <c r="A471" s="44"/>
      <c r="B471" s="44"/>
      <c r="C471" s="44"/>
      <c r="D471" s="95"/>
      <c r="E471" s="56" t="s">
        <v>12</v>
      </c>
      <c r="F471" s="16"/>
      <c r="G471" s="97"/>
      <c r="H471" s="98"/>
      <c r="I471" s="28"/>
    </row>
    <row r="472" spans="1:9" s="45" customFormat="1" ht="75" x14ac:dyDescent="0.2">
      <c r="A472" s="44"/>
      <c r="B472" s="44"/>
      <c r="C472" s="44"/>
      <c r="D472" s="95"/>
      <c r="E472" s="86" t="s">
        <v>602</v>
      </c>
      <c r="F472" s="16">
        <v>31289001</v>
      </c>
      <c r="G472" s="97">
        <v>99.2</v>
      </c>
      <c r="H472" s="98">
        <v>31036250</v>
      </c>
      <c r="I472" s="28">
        <f>2100000-2018683-28566</f>
        <v>52751</v>
      </c>
    </row>
    <row r="473" spans="1:9" s="45" customFormat="1" ht="30" x14ac:dyDescent="0.2">
      <c r="A473" s="44"/>
      <c r="B473" s="44"/>
      <c r="C473" s="44"/>
      <c r="D473" s="95"/>
      <c r="E473" s="6" t="s">
        <v>742</v>
      </c>
      <c r="F473" s="16">
        <v>55392944</v>
      </c>
      <c r="G473" s="97">
        <v>35.374265357696103</v>
      </c>
      <c r="H473" s="98">
        <v>19594847</v>
      </c>
      <c r="I473" s="28">
        <f>20000000+5000000</f>
        <v>25000000</v>
      </c>
    </row>
    <row r="474" spans="1:9" s="45" customFormat="1" ht="15" x14ac:dyDescent="0.2">
      <c r="A474" s="44"/>
      <c r="B474" s="44"/>
      <c r="C474" s="44"/>
      <c r="D474" s="95"/>
      <c r="E474" s="56" t="s">
        <v>313</v>
      </c>
      <c r="F474" s="16"/>
      <c r="G474" s="97"/>
      <c r="H474" s="98"/>
      <c r="I474" s="28"/>
    </row>
    <row r="475" spans="1:9" s="45" customFormat="1" ht="30" x14ac:dyDescent="0.2">
      <c r="A475" s="44"/>
      <c r="B475" s="44"/>
      <c r="C475" s="44"/>
      <c r="D475" s="95"/>
      <c r="E475" s="6" t="s">
        <v>437</v>
      </c>
      <c r="F475" s="16">
        <v>29132238</v>
      </c>
      <c r="G475" s="97">
        <v>68.900000000000006</v>
      </c>
      <c r="H475" s="98">
        <v>20067043</v>
      </c>
      <c r="I475" s="28">
        <f>4283000+4489486</f>
        <v>8772486</v>
      </c>
    </row>
    <row r="476" spans="1:9" s="45" customFormat="1" ht="75" x14ac:dyDescent="0.2">
      <c r="A476" s="44"/>
      <c r="B476" s="44"/>
      <c r="C476" s="44"/>
      <c r="D476" s="95"/>
      <c r="E476" s="86" t="s">
        <v>803</v>
      </c>
      <c r="F476" s="16">
        <v>740802</v>
      </c>
      <c r="G476" s="97"/>
      <c r="H476" s="98"/>
      <c r="I476" s="28">
        <f>350000+390802</f>
        <v>740802</v>
      </c>
    </row>
    <row r="477" spans="1:9" s="45" customFormat="1" ht="15" x14ac:dyDescent="0.2">
      <c r="A477" s="44"/>
      <c r="B477" s="44"/>
      <c r="C477" s="44"/>
      <c r="D477" s="95"/>
      <c r="E477" s="56" t="s">
        <v>296</v>
      </c>
      <c r="F477" s="16"/>
      <c r="G477" s="97"/>
      <c r="H477" s="98"/>
      <c r="I477" s="28"/>
    </row>
    <row r="478" spans="1:9" s="45" customFormat="1" ht="45" x14ac:dyDescent="0.2">
      <c r="A478" s="44"/>
      <c r="B478" s="44"/>
      <c r="C478" s="44"/>
      <c r="D478" s="95"/>
      <c r="E478" s="6" t="s">
        <v>399</v>
      </c>
      <c r="F478" s="16">
        <v>58243218</v>
      </c>
      <c r="G478" s="97">
        <v>93.5</v>
      </c>
      <c r="H478" s="98">
        <v>54480686</v>
      </c>
      <c r="I478" s="28">
        <v>100000</v>
      </c>
    </row>
    <row r="479" spans="1:9" s="45" customFormat="1" ht="30" x14ac:dyDescent="0.2">
      <c r="A479" s="44"/>
      <c r="B479" s="44"/>
      <c r="C479" s="44"/>
      <c r="D479" s="95"/>
      <c r="E479" s="6" t="s">
        <v>603</v>
      </c>
      <c r="F479" s="16">
        <v>3191719</v>
      </c>
      <c r="G479" s="97">
        <v>97.2</v>
      </c>
      <c r="H479" s="98">
        <v>3102977</v>
      </c>
      <c r="I479" s="28">
        <f>100000-90000</f>
        <v>10000</v>
      </c>
    </row>
    <row r="480" spans="1:9" s="45" customFormat="1" ht="45" x14ac:dyDescent="0.2">
      <c r="A480" s="44"/>
      <c r="B480" s="44"/>
      <c r="C480" s="44"/>
      <c r="D480" s="95"/>
      <c r="E480" s="86" t="s">
        <v>743</v>
      </c>
      <c r="F480" s="16">
        <v>57702985</v>
      </c>
      <c r="G480" s="97">
        <v>73.900000000000006</v>
      </c>
      <c r="H480" s="98">
        <v>42659844</v>
      </c>
      <c r="I480" s="28">
        <f>14500000-340011</f>
        <v>14159989</v>
      </c>
    </row>
    <row r="481" spans="1:9" s="45" customFormat="1" ht="15" x14ac:dyDescent="0.2">
      <c r="A481" s="44"/>
      <c r="B481" s="44"/>
      <c r="C481" s="44"/>
      <c r="D481" s="95"/>
      <c r="E481" s="56" t="s">
        <v>440</v>
      </c>
      <c r="F481" s="16"/>
      <c r="G481" s="97"/>
      <c r="H481" s="98"/>
      <c r="I481" s="28"/>
    </row>
    <row r="482" spans="1:9" s="45" customFormat="1" ht="45" x14ac:dyDescent="0.2">
      <c r="A482" s="44"/>
      <c r="B482" s="44"/>
      <c r="C482" s="44"/>
      <c r="D482" s="95"/>
      <c r="E482" s="6" t="s">
        <v>744</v>
      </c>
      <c r="F482" s="16">
        <v>35000000</v>
      </c>
      <c r="G482" s="97">
        <v>99.4</v>
      </c>
      <c r="H482" s="98">
        <v>34779838</v>
      </c>
      <c r="I482" s="28">
        <f>728044-662882-45000</f>
        <v>20162</v>
      </c>
    </row>
    <row r="483" spans="1:9" s="45" customFormat="1" ht="60" x14ac:dyDescent="0.2">
      <c r="A483" s="44"/>
      <c r="B483" s="44"/>
      <c r="C483" s="44"/>
      <c r="D483" s="95"/>
      <c r="E483" s="6" t="s">
        <v>804</v>
      </c>
      <c r="F483" s="16">
        <v>2149086</v>
      </c>
      <c r="G483" s="97">
        <v>7.7</v>
      </c>
      <c r="H483" s="98">
        <v>164785</v>
      </c>
      <c r="I483" s="28">
        <v>150000</v>
      </c>
    </row>
    <row r="484" spans="1:9" s="45" customFormat="1" ht="15" x14ac:dyDescent="0.2">
      <c r="A484" s="44"/>
      <c r="B484" s="44"/>
      <c r="C484" s="44"/>
      <c r="D484" s="95"/>
      <c r="E484" s="56" t="s">
        <v>176</v>
      </c>
      <c r="F484" s="16"/>
      <c r="G484" s="97"/>
      <c r="H484" s="98"/>
      <c r="I484" s="28"/>
    </row>
    <row r="485" spans="1:9" s="45" customFormat="1" ht="51.75" customHeight="1" x14ac:dyDescent="0.2">
      <c r="A485" s="44"/>
      <c r="B485" s="44"/>
      <c r="C485" s="44"/>
      <c r="D485" s="95"/>
      <c r="E485" s="6" t="s">
        <v>224</v>
      </c>
      <c r="F485" s="16">
        <v>14251354</v>
      </c>
      <c r="G485" s="97">
        <v>99.013069214335701</v>
      </c>
      <c r="H485" s="98">
        <v>14110703</v>
      </c>
      <c r="I485" s="28">
        <f>100000-68656</f>
        <v>31344</v>
      </c>
    </row>
    <row r="486" spans="1:9" s="45" customFormat="1" ht="60" x14ac:dyDescent="0.2">
      <c r="A486" s="44"/>
      <c r="B486" s="44"/>
      <c r="C486" s="44"/>
      <c r="D486" s="95"/>
      <c r="E486" s="6" t="s">
        <v>361</v>
      </c>
      <c r="F486" s="16">
        <v>45000000</v>
      </c>
      <c r="G486" s="97">
        <v>97.104211111111113</v>
      </c>
      <c r="H486" s="98">
        <v>43696895</v>
      </c>
      <c r="I486" s="28">
        <f>14829000-10000000-4725895</f>
        <v>103105</v>
      </c>
    </row>
    <row r="487" spans="1:9" s="45" customFormat="1" ht="31.5" customHeight="1" x14ac:dyDescent="0.2">
      <c r="A487" s="44" t="s">
        <v>441</v>
      </c>
      <c r="B487" s="44" t="s">
        <v>442</v>
      </c>
      <c r="C487" s="44" t="s">
        <v>44</v>
      </c>
      <c r="D487" s="95" t="s">
        <v>443</v>
      </c>
      <c r="E487" s="8"/>
      <c r="F487" s="20"/>
      <c r="G487" s="38"/>
      <c r="H487" s="20"/>
      <c r="I487" s="29">
        <f>I491+I492+I497+I498+I499+I500+I508+I512+I489+I493+I494+I495+I496+I506+I510+I501+I502+I503+I490+I504</f>
        <v>205345413</v>
      </c>
    </row>
    <row r="488" spans="1:9" s="45" customFormat="1" ht="15" x14ac:dyDescent="0.2">
      <c r="A488" s="44"/>
      <c r="B488" s="44"/>
      <c r="C488" s="44"/>
      <c r="D488" s="95"/>
      <c r="E488" s="56" t="s">
        <v>103</v>
      </c>
      <c r="F488" s="20"/>
      <c r="G488" s="38"/>
      <c r="H488" s="20"/>
      <c r="I488" s="29"/>
    </row>
    <row r="489" spans="1:9" s="45" customFormat="1" ht="30" x14ac:dyDescent="0.2">
      <c r="A489" s="44"/>
      <c r="B489" s="44"/>
      <c r="C489" s="44"/>
      <c r="D489" s="95"/>
      <c r="E489" s="63" t="s">
        <v>663</v>
      </c>
      <c r="F489" s="16">
        <v>120000000</v>
      </c>
      <c r="G489" s="39">
        <v>98.5</v>
      </c>
      <c r="H489" s="16">
        <v>118201777</v>
      </c>
      <c r="I489" s="28">
        <f>1480000+18356</f>
        <v>1498356</v>
      </c>
    </row>
    <row r="490" spans="1:9" s="45" customFormat="1" ht="45" x14ac:dyDescent="0.2">
      <c r="A490" s="44"/>
      <c r="B490" s="44"/>
      <c r="C490" s="44"/>
      <c r="D490" s="95"/>
      <c r="E490" s="63" t="s">
        <v>604</v>
      </c>
      <c r="F490" s="16">
        <v>750000</v>
      </c>
      <c r="G490" s="39">
        <v>60</v>
      </c>
      <c r="H490" s="16">
        <v>450000</v>
      </c>
      <c r="I490" s="28">
        <v>300000</v>
      </c>
    </row>
    <row r="491" spans="1:9" s="45" customFormat="1" ht="45" x14ac:dyDescent="0.2">
      <c r="A491" s="44"/>
      <c r="B491" s="44"/>
      <c r="C491" s="44"/>
      <c r="D491" s="95"/>
      <c r="E491" s="6" t="s">
        <v>605</v>
      </c>
      <c r="F491" s="16">
        <v>398000000</v>
      </c>
      <c r="G491" s="97">
        <v>99.6</v>
      </c>
      <c r="H491" s="98">
        <v>396375468</v>
      </c>
      <c r="I491" s="28">
        <f>1333790+315000-24258</f>
        <v>1624532</v>
      </c>
    </row>
    <row r="492" spans="1:9" s="45" customFormat="1" ht="60" x14ac:dyDescent="0.2">
      <c r="A492" s="44"/>
      <c r="B492" s="44"/>
      <c r="C492" s="44"/>
      <c r="D492" s="95"/>
      <c r="E492" s="6" t="s">
        <v>431</v>
      </c>
      <c r="F492" s="16">
        <v>231673220</v>
      </c>
      <c r="G492" s="97">
        <v>6.1</v>
      </c>
      <c r="H492" s="98">
        <v>14121043</v>
      </c>
      <c r="I492" s="28">
        <f>71259860+65700000+12452895</f>
        <v>149412755</v>
      </c>
    </row>
    <row r="493" spans="1:9" s="45" customFormat="1" ht="75" x14ac:dyDescent="0.2">
      <c r="A493" s="44"/>
      <c r="B493" s="44"/>
      <c r="C493" s="44"/>
      <c r="D493" s="95"/>
      <c r="E493" s="6" t="s">
        <v>664</v>
      </c>
      <c r="F493" s="16">
        <v>4377323</v>
      </c>
      <c r="G493" s="97">
        <v>0</v>
      </c>
      <c r="H493" s="98">
        <v>0</v>
      </c>
      <c r="I493" s="28">
        <v>8110</v>
      </c>
    </row>
    <row r="494" spans="1:9" s="45" customFormat="1" ht="60" x14ac:dyDescent="0.2">
      <c r="A494" s="44"/>
      <c r="B494" s="44"/>
      <c r="C494" s="44"/>
      <c r="D494" s="95"/>
      <c r="E494" s="6" t="s">
        <v>745</v>
      </c>
      <c r="F494" s="16">
        <v>250000000</v>
      </c>
      <c r="G494" s="97">
        <v>98.881311600000004</v>
      </c>
      <c r="H494" s="98">
        <v>247317199</v>
      </c>
      <c r="I494" s="28">
        <f>250000-113920</f>
        <v>136080</v>
      </c>
    </row>
    <row r="495" spans="1:9" s="45" customFormat="1" ht="105" x14ac:dyDescent="0.2">
      <c r="A495" s="44"/>
      <c r="B495" s="44"/>
      <c r="C495" s="44"/>
      <c r="D495" s="95"/>
      <c r="E495" s="6" t="s">
        <v>746</v>
      </c>
      <c r="F495" s="16">
        <v>94734099</v>
      </c>
      <c r="G495" s="97">
        <v>92.933773508523061</v>
      </c>
      <c r="H495" s="98">
        <v>88039973</v>
      </c>
      <c r="I495" s="28">
        <v>200000</v>
      </c>
    </row>
    <row r="496" spans="1:9" s="45" customFormat="1" ht="45" x14ac:dyDescent="0.2">
      <c r="A496" s="44"/>
      <c r="B496" s="44"/>
      <c r="C496" s="44"/>
      <c r="D496" s="95"/>
      <c r="E496" s="6" t="s">
        <v>747</v>
      </c>
      <c r="F496" s="16">
        <v>389497207</v>
      </c>
      <c r="G496" s="97">
        <v>99.6</v>
      </c>
      <c r="H496" s="98">
        <v>388023650</v>
      </c>
      <c r="I496" s="28">
        <f>150000-9933</f>
        <v>140067</v>
      </c>
    </row>
    <row r="497" spans="1:9" s="45" customFormat="1" ht="45" x14ac:dyDescent="0.2">
      <c r="A497" s="44"/>
      <c r="B497" s="44"/>
      <c r="C497" s="44"/>
      <c r="D497" s="95"/>
      <c r="E497" s="6" t="s">
        <v>606</v>
      </c>
      <c r="F497" s="16">
        <v>37193320</v>
      </c>
      <c r="G497" s="97">
        <v>36.9</v>
      </c>
      <c r="H497" s="98">
        <v>13720984</v>
      </c>
      <c r="I497" s="28">
        <f>10000000+2500000</f>
        <v>12500000</v>
      </c>
    </row>
    <row r="498" spans="1:9" s="45" customFormat="1" ht="45" x14ac:dyDescent="0.2">
      <c r="A498" s="44"/>
      <c r="B498" s="44"/>
      <c r="C498" s="44"/>
      <c r="D498" s="95"/>
      <c r="E498" s="6" t="s">
        <v>748</v>
      </c>
      <c r="F498" s="16">
        <v>122905681</v>
      </c>
      <c r="G498" s="97">
        <v>68.400000000000006</v>
      </c>
      <c r="H498" s="98">
        <v>84026665</v>
      </c>
      <c r="I498" s="28">
        <f>37708000+6740000-20000000</f>
        <v>24448000</v>
      </c>
    </row>
    <row r="499" spans="1:9" s="45" customFormat="1" ht="70.5" customHeight="1" x14ac:dyDescent="0.2">
      <c r="A499" s="44"/>
      <c r="B499" s="44"/>
      <c r="C499" s="44"/>
      <c r="D499" s="95"/>
      <c r="E499" s="6" t="s">
        <v>749</v>
      </c>
      <c r="F499" s="16">
        <v>8815865</v>
      </c>
      <c r="G499" s="97">
        <v>4.8</v>
      </c>
      <c r="H499" s="98">
        <v>426924</v>
      </c>
      <c r="I499" s="28">
        <v>3700000</v>
      </c>
    </row>
    <row r="500" spans="1:9" s="45" customFormat="1" ht="45" x14ac:dyDescent="0.2">
      <c r="A500" s="44"/>
      <c r="B500" s="44"/>
      <c r="C500" s="44"/>
      <c r="D500" s="95"/>
      <c r="E500" s="6" t="s">
        <v>607</v>
      </c>
      <c r="F500" s="16">
        <v>56000000</v>
      </c>
      <c r="G500" s="97">
        <v>97.3</v>
      </c>
      <c r="H500" s="98">
        <v>54480195</v>
      </c>
      <c r="I500" s="28">
        <f>2506543-1586738</f>
        <v>919805</v>
      </c>
    </row>
    <row r="501" spans="1:9" s="45" customFormat="1" ht="60" x14ac:dyDescent="0.2">
      <c r="A501" s="44"/>
      <c r="B501" s="44"/>
      <c r="C501" s="44"/>
      <c r="D501" s="95"/>
      <c r="E501" s="6" t="s">
        <v>750</v>
      </c>
      <c r="F501" s="16">
        <v>21420937</v>
      </c>
      <c r="G501" s="97">
        <v>7.1046005130401158</v>
      </c>
      <c r="H501" s="98">
        <v>1521872</v>
      </c>
      <c r="I501" s="28">
        <v>500000</v>
      </c>
    </row>
    <row r="502" spans="1:9" s="45" customFormat="1" ht="45" x14ac:dyDescent="0.2">
      <c r="A502" s="44"/>
      <c r="B502" s="44"/>
      <c r="C502" s="44"/>
      <c r="D502" s="95"/>
      <c r="E502" s="6" t="s">
        <v>751</v>
      </c>
      <c r="F502" s="16">
        <v>10000000</v>
      </c>
      <c r="G502" s="97">
        <v>98</v>
      </c>
      <c r="H502" s="98">
        <v>9800000</v>
      </c>
      <c r="I502" s="28">
        <v>200000</v>
      </c>
    </row>
    <row r="503" spans="1:9" s="45" customFormat="1" ht="60.75" x14ac:dyDescent="0.2">
      <c r="A503" s="44"/>
      <c r="B503" s="44"/>
      <c r="C503" s="44"/>
      <c r="D503" s="95"/>
      <c r="E503" s="6" t="s">
        <v>805</v>
      </c>
      <c r="F503" s="16">
        <v>3331717</v>
      </c>
      <c r="G503" s="97">
        <v>99.357298353971842</v>
      </c>
      <c r="H503" s="98">
        <v>3310304</v>
      </c>
      <c r="I503" s="28">
        <v>21413</v>
      </c>
    </row>
    <row r="504" spans="1:9" s="45" customFormat="1" ht="45" x14ac:dyDescent="0.2">
      <c r="A504" s="44"/>
      <c r="B504" s="44"/>
      <c r="C504" s="44"/>
      <c r="D504" s="95"/>
      <c r="E504" s="125" t="s">
        <v>752</v>
      </c>
      <c r="F504" s="16">
        <v>300000</v>
      </c>
      <c r="G504" s="97"/>
      <c r="H504" s="98"/>
      <c r="I504" s="28">
        <v>300000</v>
      </c>
    </row>
    <row r="505" spans="1:9" s="45" customFormat="1" ht="15" x14ac:dyDescent="0.2">
      <c r="A505" s="44"/>
      <c r="B505" s="44"/>
      <c r="C505" s="44"/>
      <c r="D505" s="95"/>
      <c r="E505" s="56" t="s">
        <v>104</v>
      </c>
      <c r="F505" s="16"/>
      <c r="G505" s="97"/>
      <c r="H505" s="98"/>
      <c r="I505" s="29"/>
    </row>
    <row r="506" spans="1:9" s="45" customFormat="1" ht="45" x14ac:dyDescent="0.2">
      <c r="A506" s="44"/>
      <c r="B506" s="44"/>
      <c r="C506" s="44"/>
      <c r="D506" s="95"/>
      <c r="E506" s="6" t="s">
        <v>665</v>
      </c>
      <c r="F506" s="16">
        <v>1989690</v>
      </c>
      <c r="G506" s="97">
        <v>35.700000000000003</v>
      </c>
      <c r="H506" s="98">
        <v>709869</v>
      </c>
      <c r="I506" s="28">
        <f>281610-240936</f>
        <v>40674</v>
      </c>
    </row>
    <row r="507" spans="1:9" s="45" customFormat="1" ht="15" x14ac:dyDescent="0.2">
      <c r="A507" s="44"/>
      <c r="B507" s="44"/>
      <c r="C507" s="44"/>
      <c r="D507" s="95"/>
      <c r="E507" s="56" t="s">
        <v>207</v>
      </c>
      <c r="F507" s="16"/>
      <c r="G507" s="97"/>
      <c r="H507" s="98"/>
      <c r="I507" s="29"/>
    </row>
    <row r="508" spans="1:9" s="45" customFormat="1" ht="45" x14ac:dyDescent="0.2">
      <c r="A508" s="44"/>
      <c r="B508" s="44"/>
      <c r="C508" s="44"/>
      <c r="D508" s="95"/>
      <c r="E508" s="6" t="s">
        <v>608</v>
      </c>
      <c r="F508" s="16">
        <v>10312312</v>
      </c>
      <c r="G508" s="97">
        <v>1.8</v>
      </c>
      <c r="H508" s="98">
        <v>185004</v>
      </c>
      <c r="I508" s="28">
        <f>6412000+800000</f>
        <v>7212000</v>
      </c>
    </row>
    <row r="509" spans="1:9" s="45" customFormat="1" ht="15" x14ac:dyDescent="0.2">
      <c r="A509" s="44"/>
      <c r="B509" s="44"/>
      <c r="C509" s="44"/>
      <c r="D509" s="95"/>
      <c r="E509" s="56" t="s">
        <v>367</v>
      </c>
      <c r="F509" s="16"/>
      <c r="G509" s="97"/>
      <c r="H509" s="98"/>
      <c r="I509" s="28"/>
    </row>
    <row r="510" spans="1:9" s="45" customFormat="1" ht="45" x14ac:dyDescent="0.2">
      <c r="A510" s="44"/>
      <c r="B510" s="44"/>
      <c r="C510" s="44"/>
      <c r="D510" s="95"/>
      <c r="E510" s="6" t="s">
        <v>753</v>
      </c>
      <c r="F510" s="16">
        <v>2005945</v>
      </c>
      <c r="G510" s="97">
        <v>16.100000000000001</v>
      </c>
      <c r="H510" s="98">
        <v>323939</v>
      </c>
      <c r="I510" s="28">
        <f>100000-16379</f>
        <v>83621</v>
      </c>
    </row>
    <row r="511" spans="1:9" s="45" customFormat="1" ht="15" x14ac:dyDescent="0.2">
      <c r="A511" s="44"/>
      <c r="B511" s="44"/>
      <c r="C511" s="44"/>
      <c r="D511" s="95"/>
      <c r="E511" s="56" t="s">
        <v>146</v>
      </c>
      <c r="F511" s="16"/>
      <c r="G511" s="97"/>
      <c r="H511" s="98"/>
      <c r="I511" s="28"/>
    </row>
    <row r="512" spans="1:9" s="45" customFormat="1" ht="48" customHeight="1" x14ac:dyDescent="0.2">
      <c r="A512" s="44"/>
      <c r="B512" s="44"/>
      <c r="C512" s="44"/>
      <c r="D512" s="95"/>
      <c r="E512" s="6" t="s">
        <v>754</v>
      </c>
      <c r="F512" s="16">
        <v>12533734</v>
      </c>
      <c r="G512" s="97">
        <v>46.3</v>
      </c>
      <c r="H512" s="98">
        <v>5806694</v>
      </c>
      <c r="I512" s="28">
        <v>2100000</v>
      </c>
    </row>
    <row r="513" spans="1:9" s="45" customFormat="1" ht="21.75" customHeight="1" x14ac:dyDescent="0.2">
      <c r="A513" s="44" t="s">
        <v>444</v>
      </c>
      <c r="B513" s="44" t="s">
        <v>445</v>
      </c>
      <c r="C513" s="44" t="s">
        <v>44</v>
      </c>
      <c r="D513" s="95" t="s">
        <v>133</v>
      </c>
      <c r="E513" s="8"/>
      <c r="F513" s="16"/>
      <c r="G513" s="38"/>
      <c r="H513" s="20"/>
      <c r="I513" s="28">
        <f>I515+I517</f>
        <v>2640140</v>
      </c>
    </row>
    <row r="514" spans="1:9" s="45" customFormat="1" ht="15" x14ac:dyDescent="0.2">
      <c r="A514" s="44"/>
      <c r="B514" s="44"/>
      <c r="C514" s="44"/>
      <c r="D514" s="95"/>
      <c r="E514" s="56" t="s">
        <v>104</v>
      </c>
      <c r="F514" s="16"/>
      <c r="G514" s="38"/>
      <c r="H514" s="20"/>
      <c r="I514" s="28"/>
    </row>
    <row r="515" spans="1:9" s="45" customFormat="1" ht="45" x14ac:dyDescent="0.2">
      <c r="A515" s="44"/>
      <c r="B515" s="44"/>
      <c r="C515" s="44"/>
      <c r="D515" s="95"/>
      <c r="E515" s="6" t="s">
        <v>609</v>
      </c>
      <c r="F515" s="16">
        <v>140590843</v>
      </c>
      <c r="G515" s="97">
        <v>97.7</v>
      </c>
      <c r="H515" s="98">
        <v>137691817</v>
      </c>
      <c r="I515" s="28">
        <v>1000000</v>
      </c>
    </row>
    <row r="516" spans="1:9" s="45" customFormat="1" ht="15" x14ac:dyDescent="0.2">
      <c r="A516" s="44"/>
      <c r="B516" s="44"/>
      <c r="C516" s="44"/>
      <c r="D516" s="95"/>
      <c r="E516" s="56" t="s">
        <v>440</v>
      </c>
      <c r="F516" s="16"/>
      <c r="G516" s="38"/>
      <c r="H516" s="20"/>
      <c r="I516" s="28"/>
    </row>
    <row r="517" spans="1:9" s="45" customFormat="1" ht="60" x14ac:dyDescent="0.2">
      <c r="A517" s="44"/>
      <c r="B517" s="44"/>
      <c r="C517" s="44"/>
      <c r="D517" s="95"/>
      <c r="E517" s="86" t="s">
        <v>806</v>
      </c>
      <c r="F517" s="16">
        <v>11202611</v>
      </c>
      <c r="G517" s="40">
        <v>26.537536651053941</v>
      </c>
      <c r="H517" s="41">
        <v>2972897</v>
      </c>
      <c r="I517" s="28">
        <v>1640140</v>
      </c>
    </row>
    <row r="518" spans="1:9" s="45" customFormat="1" ht="21" customHeight="1" x14ac:dyDescent="0.2">
      <c r="A518" s="44" t="s">
        <v>134</v>
      </c>
      <c r="B518" s="44" t="s">
        <v>135</v>
      </c>
      <c r="C518" s="44" t="s">
        <v>44</v>
      </c>
      <c r="D518" s="95" t="s">
        <v>136</v>
      </c>
      <c r="E518" s="8"/>
      <c r="F518" s="20"/>
      <c r="G518" s="38"/>
      <c r="H518" s="20"/>
      <c r="I518" s="28">
        <f>I520+I522</f>
        <v>9118116</v>
      </c>
    </row>
    <row r="519" spans="1:9" s="45" customFormat="1" ht="18.75" customHeight="1" x14ac:dyDescent="0.2">
      <c r="A519" s="44"/>
      <c r="B519" s="44"/>
      <c r="C519" s="44"/>
      <c r="D519" s="95"/>
      <c r="E519" s="56" t="s">
        <v>310</v>
      </c>
      <c r="F519" s="20"/>
      <c r="G519" s="97"/>
      <c r="H519" s="98"/>
      <c r="I519" s="28"/>
    </row>
    <row r="520" spans="1:9" s="45" customFormat="1" ht="42" customHeight="1" x14ac:dyDescent="0.2">
      <c r="A520" s="44"/>
      <c r="B520" s="44"/>
      <c r="C520" s="44"/>
      <c r="D520" s="95"/>
      <c r="E520" s="6" t="s">
        <v>610</v>
      </c>
      <c r="F520" s="16">
        <v>58294842</v>
      </c>
      <c r="G520" s="97">
        <v>88</v>
      </c>
      <c r="H520" s="98">
        <v>51294842</v>
      </c>
      <c r="I520" s="28">
        <v>2000000</v>
      </c>
    </row>
    <row r="521" spans="1:9" s="45" customFormat="1" ht="15" x14ac:dyDescent="0.2">
      <c r="A521" s="44"/>
      <c r="B521" s="44"/>
      <c r="C521" s="44"/>
      <c r="D521" s="95"/>
      <c r="E521" s="56" t="s">
        <v>312</v>
      </c>
      <c r="F521" s="16"/>
      <c r="G521" s="97"/>
      <c r="H521" s="98"/>
      <c r="I521" s="28"/>
    </row>
    <row r="522" spans="1:9" s="45" customFormat="1" ht="30" x14ac:dyDescent="0.2">
      <c r="A522" s="44"/>
      <c r="B522" s="44"/>
      <c r="C522" s="44"/>
      <c r="D522" s="95"/>
      <c r="E522" s="6" t="s">
        <v>447</v>
      </c>
      <c r="F522" s="16">
        <v>33291309</v>
      </c>
      <c r="G522" s="97">
        <v>12.8</v>
      </c>
      <c r="H522" s="98">
        <v>4271725</v>
      </c>
      <c r="I522" s="28">
        <f>5000000+2079000+39116</f>
        <v>7118116</v>
      </c>
    </row>
    <row r="523" spans="1:9" s="45" customFormat="1" ht="30" customHeight="1" x14ac:dyDescent="0.2">
      <c r="A523" s="44" t="s">
        <v>448</v>
      </c>
      <c r="B523" s="44" t="s">
        <v>269</v>
      </c>
      <c r="C523" s="44" t="s">
        <v>44</v>
      </c>
      <c r="D523" s="95" t="s">
        <v>270</v>
      </c>
      <c r="E523" s="8"/>
      <c r="F523" s="20"/>
      <c r="G523" s="38"/>
      <c r="H523" s="20"/>
      <c r="I523" s="28">
        <f>SUM(I525:I584)-I558-I532-I526</f>
        <v>158469486</v>
      </c>
    </row>
    <row r="524" spans="1:9" s="45" customFormat="1" ht="15" x14ac:dyDescent="0.2">
      <c r="A524" s="44"/>
      <c r="B524" s="44"/>
      <c r="C524" s="44"/>
      <c r="D524" s="95"/>
      <c r="E524" s="56" t="s">
        <v>103</v>
      </c>
      <c r="F524" s="20"/>
      <c r="G524" s="38"/>
      <c r="H524" s="20"/>
      <c r="I524" s="28"/>
    </row>
    <row r="525" spans="1:9" s="45" customFormat="1" ht="30" x14ac:dyDescent="0.2">
      <c r="A525" s="44"/>
      <c r="B525" s="44"/>
      <c r="C525" s="44"/>
      <c r="D525" s="95"/>
      <c r="E525" s="6" t="s">
        <v>611</v>
      </c>
      <c r="F525" s="16">
        <v>3398051</v>
      </c>
      <c r="G525" s="97">
        <v>4.1523802909373637E-2</v>
      </c>
      <c r="H525" s="98">
        <v>0</v>
      </c>
      <c r="I525" s="28">
        <v>350000</v>
      </c>
    </row>
    <row r="526" spans="1:9" s="45" customFormat="1" ht="15" x14ac:dyDescent="0.2">
      <c r="A526" s="44"/>
      <c r="B526" s="44"/>
      <c r="C526" s="44"/>
      <c r="D526" s="95"/>
      <c r="E526" s="6" t="s">
        <v>129</v>
      </c>
      <c r="F526" s="16"/>
      <c r="G526" s="97"/>
      <c r="H526" s="98"/>
      <c r="I526" s="29">
        <v>1411</v>
      </c>
    </row>
    <row r="527" spans="1:9" s="45" customFormat="1" ht="30" x14ac:dyDescent="0.2">
      <c r="A527" s="44"/>
      <c r="B527" s="44"/>
      <c r="C527" s="44"/>
      <c r="D527" s="95"/>
      <c r="E527" s="6" t="s">
        <v>612</v>
      </c>
      <c r="F527" s="16">
        <v>2828853</v>
      </c>
      <c r="G527" s="97">
        <v>0.7</v>
      </c>
      <c r="H527" s="98">
        <v>20983</v>
      </c>
      <c r="I527" s="28">
        <f>526338+60000</f>
        <v>586338</v>
      </c>
    </row>
    <row r="528" spans="1:9" s="45" customFormat="1" ht="30" x14ac:dyDescent="0.2">
      <c r="A528" s="44"/>
      <c r="B528" s="44"/>
      <c r="C528" s="44"/>
      <c r="D528" s="95"/>
      <c r="E528" s="6" t="s">
        <v>459</v>
      </c>
      <c r="F528" s="16">
        <v>5033627</v>
      </c>
      <c r="G528" s="97">
        <v>2.1</v>
      </c>
      <c r="H528" s="98">
        <v>107145</v>
      </c>
      <c r="I528" s="28">
        <f>1346788-107145</f>
        <v>1239643</v>
      </c>
    </row>
    <row r="529" spans="1:9" s="45" customFormat="1" ht="30" x14ac:dyDescent="0.2">
      <c r="A529" s="44"/>
      <c r="B529" s="44"/>
      <c r="C529" s="44"/>
      <c r="D529" s="95"/>
      <c r="E529" s="6" t="s">
        <v>460</v>
      </c>
      <c r="F529" s="16">
        <v>10000000</v>
      </c>
      <c r="G529" s="97">
        <v>31.9</v>
      </c>
      <c r="H529" s="98">
        <v>3193176</v>
      </c>
      <c r="I529" s="28">
        <f>1564340+5242484</f>
        <v>6806824</v>
      </c>
    </row>
    <row r="530" spans="1:9" s="45" customFormat="1" ht="30" x14ac:dyDescent="0.2">
      <c r="A530" s="44"/>
      <c r="B530" s="44"/>
      <c r="C530" s="44"/>
      <c r="D530" s="95"/>
      <c r="E530" s="6" t="s">
        <v>613</v>
      </c>
      <c r="F530" s="16">
        <v>179493002</v>
      </c>
      <c r="G530" s="97">
        <v>76.2</v>
      </c>
      <c r="H530" s="98">
        <v>136821732</v>
      </c>
      <c r="I530" s="28">
        <f>14980000+2520000+5000000+5000000+1690000</f>
        <v>29190000</v>
      </c>
    </row>
    <row r="531" spans="1:9" s="45" customFormat="1" ht="30" x14ac:dyDescent="0.2">
      <c r="A531" s="44"/>
      <c r="B531" s="44"/>
      <c r="C531" s="44"/>
      <c r="D531" s="95"/>
      <c r="E531" s="6" t="s">
        <v>614</v>
      </c>
      <c r="F531" s="16">
        <v>114613</v>
      </c>
      <c r="G531" s="97">
        <v>0</v>
      </c>
      <c r="H531" s="98">
        <v>0</v>
      </c>
      <c r="I531" s="28">
        <v>4813</v>
      </c>
    </row>
    <row r="532" spans="1:9" s="45" customFormat="1" ht="15" x14ac:dyDescent="0.2">
      <c r="A532" s="44"/>
      <c r="B532" s="44"/>
      <c r="C532" s="44"/>
      <c r="D532" s="95"/>
      <c r="E532" s="6" t="s">
        <v>129</v>
      </c>
      <c r="F532" s="16"/>
      <c r="G532" s="97"/>
      <c r="H532" s="98"/>
      <c r="I532" s="29">
        <v>4813</v>
      </c>
    </row>
    <row r="533" spans="1:9" s="45" customFormat="1" ht="75" x14ac:dyDescent="0.2">
      <c r="A533" s="44"/>
      <c r="B533" s="44"/>
      <c r="C533" s="44"/>
      <c r="D533" s="95"/>
      <c r="E533" s="6" t="s">
        <v>666</v>
      </c>
      <c r="F533" s="16">
        <v>4902311</v>
      </c>
      <c r="G533" s="97">
        <v>5.5</v>
      </c>
      <c r="H533" s="98">
        <v>267299</v>
      </c>
      <c r="I533" s="28">
        <f>600000+534598</f>
        <v>1134598</v>
      </c>
    </row>
    <row r="534" spans="1:9" s="45" customFormat="1" ht="15" x14ac:dyDescent="0.2">
      <c r="A534" s="44"/>
      <c r="B534" s="44"/>
      <c r="C534" s="44"/>
      <c r="D534" s="95"/>
      <c r="E534" s="56" t="s">
        <v>203</v>
      </c>
      <c r="F534" s="16"/>
      <c r="G534" s="97"/>
      <c r="H534" s="98"/>
      <c r="I534" s="28"/>
    </row>
    <row r="535" spans="1:9" s="45" customFormat="1" ht="30" x14ac:dyDescent="0.2">
      <c r="A535" s="44"/>
      <c r="B535" s="44"/>
      <c r="C535" s="44"/>
      <c r="D535" s="95"/>
      <c r="E535" s="6" t="s">
        <v>368</v>
      </c>
      <c r="F535" s="16">
        <v>30277409</v>
      </c>
      <c r="G535" s="97">
        <v>4.8</v>
      </c>
      <c r="H535" s="98">
        <v>1442004</v>
      </c>
      <c r="I535" s="28">
        <f>15000000+5000000+8425657</f>
        <v>28425657</v>
      </c>
    </row>
    <row r="536" spans="1:9" s="45" customFormat="1" ht="30" x14ac:dyDescent="0.2">
      <c r="A536" s="44"/>
      <c r="B536" s="44"/>
      <c r="C536" s="44"/>
      <c r="D536" s="95"/>
      <c r="E536" s="6" t="s">
        <v>336</v>
      </c>
      <c r="F536" s="16">
        <v>20094787</v>
      </c>
      <c r="G536" s="97"/>
      <c r="H536" s="98"/>
      <c r="I536" s="28">
        <f>19000000+1000000</f>
        <v>20000000</v>
      </c>
    </row>
    <row r="537" spans="1:9" s="45" customFormat="1" ht="15" x14ac:dyDescent="0.2">
      <c r="A537" s="44"/>
      <c r="B537" s="44"/>
      <c r="C537" s="44"/>
      <c r="D537" s="95"/>
      <c r="E537" s="56" t="s">
        <v>207</v>
      </c>
      <c r="F537" s="16"/>
      <c r="G537" s="97"/>
      <c r="H537" s="98"/>
      <c r="I537" s="28"/>
    </row>
    <row r="538" spans="1:9" s="45" customFormat="1" ht="45" x14ac:dyDescent="0.2">
      <c r="A538" s="44"/>
      <c r="B538" s="44"/>
      <c r="C538" s="44"/>
      <c r="D538" s="95"/>
      <c r="E538" s="6" t="s">
        <v>755</v>
      </c>
      <c r="F538" s="16">
        <v>78322367</v>
      </c>
      <c r="G538" s="97">
        <v>98.670946704151575</v>
      </c>
      <c r="H538" s="98">
        <v>77281421</v>
      </c>
      <c r="I538" s="28">
        <f>100000-68687</f>
        <v>31313</v>
      </c>
    </row>
    <row r="539" spans="1:9" s="45" customFormat="1" ht="45" x14ac:dyDescent="0.2">
      <c r="A539" s="44"/>
      <c r="B539" s="44"/>
      <c r="C539" s="44"/>
      <c r="D539" s="95"/>
      <c r="E539" s="6" t="s">
        <v>807</v>
      </c>
      <c r="F539" s="16">
        <v>91731807</v>
      </c>
      <c r="G539" s="97">
        <v>94</v>
      </c>
      <c r="H539" s="98">
        <v>86197115</v>
      </c>
      <c r="I539" s="28">
        <f>3708000+6740000-5000000</f>
        <v>5448000</v>
      </c>
    </row>
    <row r="540" spans="1:9" s="45" customFormat="1" ht="15" x14ac:dyDescent="0.2">
      <c r="A540" s="44"/>
      <c r="B540" s="44"/>
      <c r="C540" s="44"/>
      <c r="D540" s="95"/>
      <c r="E540" s="77" t="s">
        <v>208</v>
      </c>
      <c r="F540" s="16"/>
      <c r="G540" s="97"/>
      <c r="H540" s="98"/>
      <c r="I540" s="28"/>
    </row>
    <row r="541" spans="1:9" s="45" customFormat="1" ht="45" x14ac:dyDescent="0.2">
      <c r="A541" s="44"/>
      <c r="B541" s="44"/>
      <c r="C541" s="44"/>
      <c r="D541" s="95"/>
      <c r="E541" s="6" t="s">
        <v>615</v>
      </c>
      <c r="F541" s="16">
        <v>851457</v>
      </c>
      <c r="G541" s="97">
        <v>0</v>
      </c>
      <c r="H541" s="98">
        <v>0</v>
      </c>
      <c r="I541" s="28">
        <f>100000+751457</f>
        <v>851457</v>
      </c>
    </row>
    <row r="542" spans="1:9" s="45" customFormat="1" ht="15" x14ac:dyDescent="0.2">
      <c r="A542" s="44"/>
      <c r="B542" s="44"/>
      <c r="C542" s="44"/>
      <c r="D542" s="95"/>
      <c r="E542" s="56" t="s">
        <v>297</v>
      </c>
      <c r="F542" s="16"/>
      <c r="G542" s="97"/>
      <c r="H542" s="98"/>
      <c r="I542" s="28"/>
    </row>
    <row r="543" spans="1:9" s="45" customFormat="1" ht="30" x14ac:dyDescent="0.2">
      <c r="A543" s="44"/>
      <c r="B543" s="44"/>
      <c r="C543" s="44"/>
      <c r="D543" s="95"/>
      <c r="E543" s="6" t="s">
        <v>616</v>
      </c>
      <c r="F543" s="16">
        <v>29000000</v>
      </c>
      <c r="G543" s="97">
        <v>97.2</v>
      </c>
      <c r="H543" s="98">
        <v>28174389</v>
      </c>
      <c r="I543" s="28">
        <f>5000000-4510000-164705-75000</f>
        <v>250295</v>
      </c>
    </row>
    <row r="544" spans="1:9" s="45" customFormat="1" ht="60" x14ac:dyDescent="0.2">
      <c r="A544" s="44"/>
      <c r="B544" s="44"/>
      <c r="C544" s="44"/>
      <c r="D544" s="95"/>
      <c r="E544" s="6" t="s">
        <v>756</v>
      </c>
      <c r="F544" s="16">
        <v>300000</v>
      </c>
      <c r="G544" s="97">
        <v>0</v>
      </c>
      <c r="H544" s="98">
        <v>0</v>
      </c>
      <c r="I544" s="28">
        <v>300000</v>
      </c>
    </row>
    <row r="545" spans="1:9" s="45" customFormat="1" ht="45" x14ac:dyDescent="0.2">
      <c r="A545" s="44"/>
      <c r="B545" s="44"/>
      <c r="C545" s="44"/>
      <c r="D545" s="95"/>
      <c r="E545" s="6" t="s">
        <v>667</v>
      </c>
      <c r="F545" s="16">
        <v>250000</v>
      </c>
      <c r="G545" s="97">
        <v>40</v>
      </c>
      <c r="H545" s="98">
        <v>100000</v>
      </c>
      <c r="I545" s="28">
        <v>150000</v>
      </c>
    </row>
    <row r="546" spans="1:9" s="45" customFormat="1" ht="15" x14ac:dyDescent="0.2">
      <c r="A546" s="44"/>
      <c r="B546" s="44"/>
      <c r="C546" s="44"/>
      <c r="D546" s="95"/>
      <c r="E546" s="56" t="s">
        <v>149</v>
      </c>
      <c r="F546" s="16"/>
      <c r="G546" s="97"/>
      <c r="H546" s="98"/>
      <c r="I546" s="28"/>
    </row>
    <row r="547" spans="1:9" s="45" customFormat="1" ht="45" x14ac:dyDescent="0.2">
      <c r="A547" s="44"/>
      <c r="B547" s="44"/>
      <c r="C547" s="44"/>
      <c r="D547" s="95"/>
      <c r="E547" s="6" t="s">
        <v>617</v>
      </c>
      <c r="F547" s="16">
        <v>65025240</v>
      </c>
      <c r="G547" s="97">
        <v>97.72594457167709</v>
      </c>
      <c r="H547" s="98">
        <v>63546530</v>
      </c>
      <c r="I547" s="28">
        <v>818688</v>
      </c>
    </row>
    <row r="548" spans="1:9" s="45" customFormat="1" ht="15" x14ac:dyDescent="0.2">
      <c r="A548" s="44"/>
      <c r="B548" s="44"/>
      <c r="C548" s="44"/>
      <c r="D548" s="95"/>
      <c r="E548" s="56" t="s">
        <v>150</v>
      </c>
      <c r="F548" s="16"/>
      <c r="G548" s="97"/>
      <c r="H548" s="98"/>
      <c r="I548" s="28"/>
    </row>
    <row r="549" spans="1:9" s="45" customFormat="1" ht="15" x14ac:dyDescent="0.2">
      <c r="A549" s="44"/>
      <c r="B549" s="44"/>
      <c r="C549" s="44"/>
      <c r="D549" s="95"/>
      <c r="E549" s="6" t="s">
        <v>271</v>
      </c>
      <c r="F549" s="16">
        <v>27007627</v>
      </c>
      <c r="G549" s="97">
        <v>98.7</v>
      </c>
      <c r="H549" s="98">
        <v>26662566</v>
      </c>
      <c r="I549" s="28">
        <f>100000-87420</f>
        <v>12580</v>
      </c>
    </row>
    <row r="550" spans="1:9" s="45" customFormat="1" ht="15" x14ac:dyDescent="0.2">
      <c r="A550" s="44"/>
      <c r="B550" s="44"/>
      <c r="C550" s="44"/>
      <c r="D550" s="95"/>
      <c r="E550" s="56" t="s">
        <v>420</v>
      </c>
      <c r="F550" s="16"/>
      <c r="G550" s="97"/>
      <c r="H550" s="98"/>
      <c r="I550" s="28"/>
    </row>
    <row r="551" spans="1:9" s="45" customFormat="1" ht="30" x14ac:dyDescent="0.2">
      <c r="A551" s="44"/>
      <c r="B551" s="44"/>
      <c r="C551" s="44"/>
      <c r="D551" s="95"/>
      <c r="E551" s="6" t="s">
        <v>272</v>
      </c>
      <c r="F551" s="16">
        <v>30000000</v>
      </c>
      <c r="G551" s="97">
        <v>98.170423333333332</v>
      </c>
      <c r="H551" s="98">
        <v>29451127</v>
      </c>
      <c r="I551" s="28">
        <v>414211</v>
      </c>
    </row>
    <row r="552" spans="1:9" s="45" customFormat="1" ht="15" x14ac:dyDescent="0.2">
      <c r="A552" s="44"/>
      <c r="B552" s="44"/>
      <c r="C552" s="44"/>
      <c r="D552" s="95"/>
      <c r="E552" s="56" t="s">
        <v>367</v>
      </c>
      <c r="F552" s="16"/>
      <c r="G552" s="97"/>
      <c r="H552" s="98"/>
      <c r="I552" s="28"/>
    </row>
    <row r="553" spans="1:9" s="45" customFormat="1" ht="60" x14ac:dyDescent="0.2">
      <c r="A553" s="44"/>
      <c r="B553" s="44"/>
      <c r="C553" s="44"/>
      <c r="D553" s="95"/>
      <c r="E553" s="6" t="s">
        <v>757</v>
      </c>
      <c r="F553" s="16">
        <v>39551277</v>
      </c>
      <c r="G553" s="97">
        <v>97.1</v>
      </c>
      <c r="H553" s="98">
        <v>38409713</v>
      </c>
      <c r="I553" s="28">
        <f>233298-88080</f>
        <v>145218</v>
      </c>
    </row>
    <row r="554" spans="1:9" s="45" customFormat="1" ht="45" x14ac:dyDescent="0.2">
      <c r="A554" s="44"/>
      <c r="B554" s="44"/>
      <c r="C554" s="44"/>
      <c r="D554" s="95"/>
      <c r="E554" s="6" t="s">
        <v>618</v>
      </c>
      <c r="F554" s="16">
        <v>33994594</v>
      </c>
      <c r="G554" s="97">
        <v>52.8</v>
      </c>
      <c r="H554" s="98">
        <v>17959211</v>
      </c>
      <c r="I554" s="28">
        <f>17649000+4550000-7000000</f>
        <v>15199000</v>
      </c>
    </row>
    <row r="555" spans="1:9" s="45" customFormat="1" ht="15" x14ac:dyDescent="0.2">
      <c r="A555" s="44"/>
      <c r="B555" s="44"/>
      <c r="C555" s="44"/>
      <c r="D555" s="95"/>
      <c r="E555" s="56" t="s">
        <v>310</v>
      </c>
      <c r="F555" s="16"/>
      <c r="G555" s="97"/>
      <c r="H555" s="98"/>
      <c r="I555" s="28"/>
    </row>
    <row r="556" spans="1:9" s="45" customFormat="1" ht="30" x14ac:dyDescent="0.2">
      <c r="A556" s="44"/>
      <c r="B556" s="44"/>
      <c r="C556" s="44"/>
      <c r="D556" s="95"/>
      <c r="E556" s="63" t="s">
        <v>108</v>
      </c>
      <c r="F556" s="16">
        <v>15000000</v>
      </c>
      <c r="G556" s="97">
        <v>94.4</v>
      </c>
      <c r="H556" s="98">
        <v>14155247</v>
      </c>
      <c r="I556" s="28">
        <f>1000000+2000000-2132811-22436</f>
        <v>844753</v>
      </c>
    </row>
    <row r="557" spans="1:9" s="45" customFormat="1" ht="38.25" customHeight="1" x14ac:dyDescent="0.2">
      <c r="A557" s="44"/>
      <c r="B557" s="44"/>
      <c r="C557" s="44"/>
      <c r="D557" s="95"/>
      <c r="E557" s="6" t="s">
        <v>425</v>
      </c>
      <c r="F557" s="16">
        <v>55817878</v>
      </c>
      <c r="G557" s="97">
        <v>2.9</v>
      </c>
      <c r="H557" s="98">
        <v>1634292</v>
      </c>
      <c r="I557" s="28">
        <f>15007081-1000000</f>
        <v>14007081</v>
      </c>
    </row>
    <row r="558" spans="1:9" s="45" customFormat="1" ht="15" x14ac:dyDescent="0.2">
      <c r="A558" s="44"/>
      <c r="B558" s="44"/>
      <c r="C558" s="44"/>
      <c r="D558" s="95"/>
      <c r="E558" s="8" t="s">
        <v>129</v>
      </c>
      <c r="F558" s="20"/>
      <c r="G558" s="99"/>
      <c r="H558" s="100"/>
      <c r="I558" s="29">
        <v>7081</v>
      </c>
    </row>
    <row r="559" spans="1:9" s="45" customFormat="1" ht="45" x14ac:dyDescent="0.2">
      <c r="A559" s="44"/>
      <c r="B559" s="44"/>
      <c r="C559" s="44"/>
      <c r="D559" s="95"/>
      <c r="E559" s="6" t="s">
        <v>273</v>
      </c>
      <c r="F559" s="16">
        <v>125772467</v>
      </c>
      <c r="G559" s="97">
        <v>82.1</v>
      </c>
      <c r="H559" s="98">
        <v>103303114</v>
      </c>
      <c r="I559" s="28">
        <f>10100000-10000000</f>
        <v>100000</v>
      </c>
    </row>
    <row r="560" spans="1:9" s="45" customFormat="1" ht="45" x14ac:dyDescent="0.2">
      <c r="A560" s="44"/>
      <c r="B560" s="44"/>
      <c r="C560" s="44"/>
      <c r="D560" s="95"/>
      <c r="E560" s="6" t="s">
        <v>337</v>
      </c>
      <c r="F560" s="16">
        <v>9379774</v>
      </c>
      <c r="G560" s="97">
        <v>3.8</v>
      </c>
      <c r="H560" s="98">
        <v>355076</v>
      </c>
      <c r="I560" s="28">
        <v>1450000</v>
      </c>
    </row>
    <row r="561" spans="1:9" s="45" customFormat="1" ht="17.25" customHeight="1" x14ac:dyDescent="0.2">
      <c r="A561" s="44"/>
      <c r="B561" s="44"/>
      <c r="C561" s="44"/>
      <c r="D561" s="95"/>
      <c r="E561" s="56" t="s">
        <v>397</v>
      </c>
      <c r="F561" s="16"/>
      <c r="G561" s="97"/>
      <c r="H561" s="98"/>
      <c r="I561" s="28"/>
    </row>
    <row r="562" spans="1:9" s="45" customFormat="1" ht="45.75" customHeight="1" x14ac:dyDescent="0.2">
      <c r="A562" s="44"/>
      <c r="B562" s="44"/>
      <c r="C562" s="44"/>
      <c r="D562" s="95"/>
      <c r="E562" s="86" t="s">
        <v>758</v>
      </c>
      <c r="F562" s="16">
        <v>12813486</v>
      </c>
      <c r="G562" s="97">
        <v>92.7</v>
      </c>
      <c r="H562" s="98">
        <v>11874638</v>
      </c>
      <c r="I562" s="28">
        <f>100000-72580</f>
        <v>27420</v>
      </c>
    </row>
    <row r="563" spans="1:9" s="45" customFormat="1" ht="15" x14ac:dyDescent="0.2">
      <c r="A563" s="44"/>
      <c r="B563" s="44"/>
      <c r="C563" s="44"/>
      <c r="D563" s="95"/>
      <c r="E563" s="56" t="s">
        <v>454</v>
      </c>
      <c r="F563" s="16"/>
      <c r="G563" s="97"/>
      <c r="H563" s="98"/>
      <c r="I563" s="28"/>
    </row>
    <row r="564" spans="1:9" s="45" customFormat="1" ht="30" x14ac:dyDescent="0.2">
      <c r="A564" s="44"/>
      <c r="B564" s="44"/>
      <c r="C564" s="44"/>
      <c r="D564" s="95"/>
      <c r="E564" s="86" t="s">
        <v>360</v>
      </c>
      <c r="F564" s="16">
        <v>9557909</v>
      </c>
      <c r="G564" s="97"/>
      <c r="H564" s="98"/>
      <c r="I564" s="28">
        <v>9000</v>
      </c>
    </row>
    <row r="565" spans="1:9" s="45" customFormat="1" ht="14.25" customHeight="1" x14ac:dyDescent="0.2">
      <c r="A565" s="44"/>
      <c r="B565" s="44"/>
      <c r="C565" s="44"/>
      <c r="D565" s="95"/>
      <c r="E565" s="56" t="s">
        <v>409</v>
      </c>
      <c r="F565" s="16"/>
      <c r="G565" s="97"/>
      <c r="H565" s="98"/>
      <c r="I565" s="28"/>
    </row>
    <row r="566" spans="1:9" s="45" customFormat="1" ht="30" x14ac:dyDescent="0.2">
      <c r="A566" s="44"/>
      <c r="B566" s="44"/>
      <c r="C566" s="44"/>
      <c r="D566" s="95"/>
      <c r="E566" s="6" t="s">
        <v>274</v>
      </c>
      <c r="F566" s="16">
        <v>23052247</v>
      </c>
      <c r="G566" s="97">
        <v>57.9</v>
      </c>
      <c r="H566" s="98">
        <v>13336849</v>
      </c>
      <c r="I566" s="28">
        <f>1000000+3370000+5000000</f>
        <v>9370000</v>
      </c>
    </row>
    <row r="567" spans="1:9" s="45" customFormat="1" ht="15" x14ac:dyDescent="0.2">
      <c r="A567" s="44"/>
      <c r="B567" s="44"/>
      <c r="C567" s="44"/>
      <c r="D567" s="95"/>
      <c r="E567" s="56" t="s">
        <v>9</v>
      </c>
      <c r="F567" s="16"/>
      <c r="G567" s="97"/>
      <c r="H567" s="98"/>
      <c r="I567" s="28"/>
    </row>
    <row r="568" spans="1:9" s="45" customFormat="1" ht="45" x14ac:dyDescent="0.2">
      <c r="A568" s="44"/>
      <c r="B568" s="44"/>
      <c r="C568" s="44"/>
      <c r="D568" s="95"/>
      <c r="E568" s="6" t="s">
        <v>161</v>
      </c>
      <c r="F568" s="16">
        <v>76329870</v>
      </c>
      <c r="G568" s="97">
        <v>98.3</v>
      </c>
      <c r="H568" s="98">
        <v>75040347</v>
      </c>
      <c r="I568" s="28">
        <v>900640</v>
      </c>
    </row>
    <row r="569" spans="1:9" s="45" customFormat="1" ht="15" x14ac:dyDescent="0.2">
      <c r="A569" s="44"/>
      <c r="B569" s="44"/>
      <c r="C569" s="44"/>
      <c r="D569" s="95"/>
      <c r="E569" s="56" t="s">
        <v>10</v>
      </c>
      <c r="F569" s="16"/>
      <c r="G569" s="97"/>
      <c r="H569" s="98"/>
      <c r="I569" s="28"/>
    </row>
    <row r="570" spans="1:9" s="45" customFormat="1" ht="30" x14ac:dyDescent="0.2">
      <c r="A570" s="44"/>
      <c r="B570" s="44"/>
      <c r="C570" s="44"/>
      <c r="D570" s="95"/>
      <c r="E570" s="6" t="s">
        <v>275</v>
      </c>
      <c r="F570" s="16">
        <v>27657168</v>
      </c>
      <c r="G570" s="97">
        <v>97.8</v>
      </c>
      <c r="H570" s="98">
        <v>27062168</v>
      </c>
      <c r="I570" s="28">
        <f>100000-85970</f>
        <v>14030</v>
      </c>
    </row>
    <row r="571" spans="1:9" s="45" customFormat="1" ht="43.5" customHeight="1" x14ac:dyDescent="0.2">
      <c r="A571" s="44"/>
      <c r="B571" s="44"/>
      <c r="C571" s="44"/>
      <c r="D571" s="95"/>
      <c r="E571" s="6" t="s">
        <v>109</v>
      </c>
      <c r="F571" s="16">
        <v>41125464</v>
      </c>
      <c r="G571" s="97">
        <v>84.4</v>
      </c>
      <c r="H571" s="98">
        <v>34711467</v>
      </c>
      <c r="I571" s="28">
        <f>5000000-3000000</f>
        <v>2000000</v>
      </c>
    </row>
    <row r="572" spans="1:9" s="45" customFormat="1" ht="43.5" customHeight="1" x14ac:dyDescent="0.2">
      <c r="A572" s="44"/>
      <c r="B572" s="44"/>
      <c r="C572" s="44"/>
      <c r="D572" s="95"/>
      <c r="E572" s="6" t="s">
        <v>4</v>
      </c>
      <c r="F572" s="16">
        <v>50000</v>
      </c>
      <c r="G572" s="97"/>
      <c r="H572" s="98"/>
      <c r="I572" s="28">
        <v>50000</v>
      </c>
    </row>
    <row r="573" spans="1:9" s="45" customFormat="1" ht="15" x14ac:dyDescent="0.2">
      <c r="A573" s="44"/>
      <c r="B573" s="44"/>
      <c r="C573" s="44"/>
      <c r="D573" s="95"/>
      <c r="E573" s="77" t="s">
        <v>679</v>
      </c>
      <c r="F573" s="16"/>
      <c r="G573" s="97"/>
      <c r="H573" s="98"/>
      <c r="I573" s="28"/>
    </row>
    <row r="574" spans="1:9" s="45" customFormat="1" ht="30.75" customHeight="1" x14ac:dyDescent="0.2">
      <c r="A574" s="44"/>
      <c r="B574" s="44"/>
      <c r="C574" s="44"/>
      <c r="D574" s="95"/>
      <c r="E574" s="6" t="s">
        <v>687</v>
      </c>
      <c r="F574" s="16">
        <v>49129172</v>
      </c>
      <c r="G574" s="97">
        <v>83.7</v>
      </c>
      <c r="H574" s="98">
        <v>41126405</v>
      </c>
      <c r="I574" s="28">
        <f>1047001-126074+215000</f>
        <v>1135927</v>
      </c>
    </row>
    <row r="575" spans="1:9" s="45" customFormat="1" ht="15" x14ac:dyDescent="0.2">
      <c r="A575" s="44"/>
      <c r="B575" s="44"/>
      <c r="C575" s="44"/>
      <c r="D575" s="95"/>
      <c r="E575" s="56" t="s">
        <v>276</v>
      </c>
      <c r="F575" s="16"/>
      <c r="G575" s="97"/>
      <c r="H575" s="98"/>
      <c r="I575" s="28"/>
    </row>
    <row r="576" spans="1:9" s="45" customFormat="1" ht="45" x14ac:dyDescent="0.2">
      <c r="A576" s="44"/>
      <c r="B576" s="44"/>
      <c r="C576" s="44"/>
      <c r="D576" s="95"/>
      <c r="E576" s="6" t="s">
        <v>5</v>
      </c>
      <c r="F576" s="16">
        <v>25897449</v>
      </c>
      <c r="G576" s="97">
        <v>57.7</v>
      </c>
      <c r="H576" s="98">
        <v>14946249</v>
      </c>
      <c r="I576" s="28">
        <f>5700000+10000000-5000000</f>
        <v>10700000</v>
      </c>
    </row>
    <row r="577" spans="1:9" s="45" customFormat="1" ht="15" x14ac:dyDescent="0.2">
      <c r="A577" s="44"/>
      <c r="B577" s="44"/>
      <c r="C577" s="44"/>
      <c r="D577" s="95"/>
      <c r="E577" s="56" t="s">
        <v>296</v>
      </c>
      <c r="F577" s="16"/>
      <c r="G577" s="97"/>
      <c r="H577" s="98"/>
      <c r="I577" s="28"/>
    </row>
    <row r="578" spans="1:9" s="45" customFormat="1" ht="45" customHeight="1" x14ac:dyDescent="0.2">
      <c r="A578" s="44"/>
      <c r="B578" s="44"/>
      <c r="C578" s="44"/>
      <c r="D578" s="95"/>
      <c r="E578" s="6" t="s">
        <v>471</v>
      </c>
      <c r="F578" s="16">
        <v>18269582</v>
      </c>
      <c r="G578" s="97">
        <v>98.370707113058202</v>
      </c>
      <c r="H578" s="98">
        <v>17971917</v>
      </c>
      <c r="I578" s="28">
        <f>100000-90000</f>
        <v>10000</v>
      </c>
    </row>
    <row r="579" spans="1:9" s="45" customFormat="1" ht="45" x14ac:dyDescent="0.2">
      <c r="A579" s="44"/>
      <c r="B579" s="44"/>
      <c r="C579" s="44"/>
      <c r="D579" s="95"/>
      <c r="E579" s="6" t="s">
        <v>619</v>
      </c>
      <c r="F579" s="16">
        <v>12986144</v>
      </c>
      <c r="G579" s="97">
        <v>98.8455233516585</v>
      </c>
      <c r="H579" s="98">
        <v>12836222</v>
      </c>
      <c r="I579" s="28">
        <f>100000-90000</f>
        <v>10000</v>
      </c>
    </row>
    <row r="580" spans="1:9" s="45" customFormat="1" ht="15" x14ac:dyDescent="0.2">
      <c r="A580" s="44"/>
      <c r="B580" s="44"/>
      <c r="C580" s="44"/>
      <c r="D580" s="95"/>
      <c r="E580" s="56" t="s">
        <v>440</v>
      </c>
      <c r="F580" s="16"/>
      <c r="G580" s="97"/>
      <c r="H580" s="98"/>
      <c r="I580" s="28"/>
    </row>
    <row r="581" spans="1:9" s="45" customFormat="1" ht="30" x14ac:dyDescent="0.2">
      <c r="A581" s="44"/>
      <c r="B581" s="44"/>
      <c r="C581" s="44"/>
      <c r="D581" s="95"/>
      <c r="E581" s="6" t="s">
        <v>252</v>
      </c>
      <c r="F581" s="16">
        <v>28083425</v>
      </c>
      <c r="G581" s="97">
        <v>97.660602294769959</v>
      </c>
      <c r="H581" s="98">
        <v>27426442</v>
      </c>
      <c r="I581" s="28">
        <f>1274000-1264000</f>
        <v>10000</v>
      </c>
    </row>
    <row r="582" spans="1:9" s="45" customFormat="1" ht="15" x14ac:dyDescent="0.2">
      <c r="A582" s="44"/>
      <c r="B582" s="44"/>
      <c r="C582" s="44"/>
      <c r="D582" s="95"/>
      <c r="E582" s="56" t="s">
        <v>162</v>
      </c>
      <c r="F582" s="16"/>
      <c r="G582" s="97"/>
      <c r="H582" s="98"/>
      <c r="I582" s="28"/>
    </row>
    <row r="583" spans="1:9" s="45" customFormat="1" ht="15" x14ac:dyDescent="0.2">
      <c r="A583" s="44"/>
      <c r="B583" s="44"/>
      <c r="C583" s="44"/>
      <c r="D583" s="95"/>
      <c r="E583" s="6" t="s">
        <v>277</v>
      </c>
      <c r="F583" s="16">
        <v>25545066</v>
      </c>
      <c r="G583" s="97"/>
      <c r="H583" s="98"/>
      <c r="I583" s="28">
        <f>4372000+2000000</f>
        <v>6372000</v>
      </c>
    </row>
    <row r="584" spans="1:9" s="45" customFormat="1" ht="45" x14ac:dyDescent="0.2">
      <c r="A584" s="44"/>
      <c r="B584" s="44"/>
      <c r="C584" s="44"/>
      <c r="D584" s="95"/>
      <c r="E584" s="6" t="s">
        <v>688</v>
      </c>
      <c r="F584" s="16">
        <v>3500000</v>
      </c>
      <c r="G584" s="97">
        <v>97.142857142857139</v>
      </c>
      <c r="H584" s="98">
        <v>3400000</v>
      </c>
      <c r="I584" s="28">
        <v>100000</v>
      </c>
    </row>
    <row r="585" spans="1:9" s="32" customFormat="1" ht="28.9" customHeight="1" x14ac:dyDescent="0.2">
      <c r="A585" s="48" t="s">
        <v>278</v>
      </c>
      <c r="B585" s="48" t="s">
        <v>279</v>
      </c>
      <c r="C585" s="48" t="s">
        <v>44</v>
      </c>
      <c r="D585" s="63" t="s">
        <v>163</v>
      </c>
      <c r="E585" s="6"/>
      <c r="F585" s="16"/>
      <c r="G585" s="39"/>
      <c r="H585" s="16"/>
      <c r="I585" s="28">
        <f>I587+I589+I591+I593+I595+I597</f>
        <v>66279237</v>
      </c>
    </row>
    <row r="586" spans="1:9" s="32" customFormat="1" ht="15" x14ac:dyDescent="0.2">
      <c r="A586" s="48"/>
      <c r="B586" s="48"/>
      <c r="C586" s="48"/>
      <c r="D586" s="63"/>
      <c r="E586" s="56" t="s">
        <v>104</v>
      </c>
      <c r="F586" s="16"/>
      <c r="G586" s="39"/>
      <c r="H586" s="16"/>
      <c r="I586" s="28"/>
    </row>
    <row r="587" spans="1:9" s="32" customFormat="1" ht="45" x14ac:dyDescent="0.2">
      <c r="A587" s="48"/>
      <c r="B587" s="48"/>
      <c r="C587" s="48"/>
      <c r="D587" s="63"/>
      <c r="E587" s="86" t="s">
        <v>246</v>
      </c>
      <c r="F587" s="16">
        <v>98655440</v>
      </c>
      <c r="G587" s="97">
        <v>87</v>
      </c>
      <c r="H587" s="98">
        <v>85838085</v>
      </c>
      <c r="I587" s="28">
        <f>400000+15000000-15000000+10000000</f>
        <v>10400000</v>
      </c>
    </row>
    <row r="588" spans="1:9" s="32" customFormat="1" ht="15" x14ac:dyDescent="0.2">
      <c r="A588" s="48"/>
      <c r="B588" s="48"/>
      <c r="C588" s="48"/>
      <c r="D588" s="63"/>
      <c r="E588" s="56" t="s">
        <v>149</v>
      </c>
      <c r="F588" s="16"/>
      <c r="G588" s="97"/>
      <c r="H588" s="98"/>
      <c r="I588" s="28"/>
    </row>
    <row r="589" spans="1:9" s="32" customFormat="1" ht="18" customHeight="1" x14ac:dyDescent="0.2">
      <c r="A589" s="48"/>
      <c r="B589" s="48"/>
      <c r="C589" s="48"/>
      <c r="D589" s="63"/>
      <c r="E589" s="6" t="s">
        <v>280</v>
      </c>
      <c r="F589" s="16">
        <v>45169790</v>
      </c>
      <c r="G589" s="97">
        <v>98.6</v>
      </c>
      <c r="H589" s="98">
        <v>44534540</v>
      </c>
      <c r="I589" s="28">
        <f>312666-275846</f>
        <v>36820</v>
      </c>
    </row>
    <row r="590" spans="1:9" s="32" customFormat="1" ht="15" x14ac:dyDescent="0.2">
      <c r="A590" s="48"/>
      <c r="B590" s="48"/>
      <c r="C590" s="48"/>
      <c r="D590" s="63"/>
      <c r="E590" s="56" t="s">
        <v>310</v>
      </c>
      <c r="F590" s="16"/>
      <c r="G590" s="97"/>
      <c r="H590" s="98"/>
      <c r="I590" s="28"/>
    </row>
    <row r="591" spans="1:9" s="32" customFormat="1" ht="30" x14ac:dyDescent="0.2">
      <c r="A591" s="48"/>
      <c r="B591" s="48"/>
      <c r="C591" s="48"/>
      <c r="D591" s="63"/>
      <c r="E591" s="63" t="s">
        <v>620</v>
      </c>
      <c r="F591" s="16">
        <v>132896200.00000001</v>
      </c>
      <c r="G591" s="97">
        <v>9.1</v>
      </c>
      <c r="H591" s="98">
        <v>12028269</v>
      </c>
      <c r="I591" s="28">
        <f>15100000+29900040</f>
        <v>45000040</v>
      </c>
    </row>
    <row r="592" spans="1:9" s="32" customFormat="1" ht="15" x14ac:dyDescent="0.2">
      <c r="A592" s="48"/>
      <c r="B592" s="48"/>
      <c r="C592" s="48"/>
      <c r="D592" s="63"/>
      <c r="E592" s="56" t="s">
        <v>10</v>
      </c>
      <c r="F592" s="16"/>
      <c r="G592" s="97"/>
      <c r="H592" s="98"/>
      <c r="I592" s="28"/>
    </row>
    <row r="593" spans="1:9" s="32" customFormat="1" ht="49.5" customHeight="1" x14ac:dyDescent="0.2">
      <c r="A593" s="48"/>
      <c r="B593" s="48"/>
      <c r="C593" s="48"/>
      <c r="D593" s="63"/>
      <c r="E593" s="63" t="s">
        <v>48</v>
      </c>
      <c r="F593" s="16">
        <v>14204790</v>
      </c>
      <c r="G593" s="97">
        <v>8.5</v>
      </c>
      <c r="H593" s="98">
        <v>1211281</v>
      </c>
      <c r="I593" s="28">
        <f>300000-282810</f>
        <v>17190</v>
      </c>
    </row>
    <row r="594" spans="1:9" s="32" customFormat="1" ht="15" x14ac:dyDescent="0.2">
      <c r="A594" s="48"/>
      <c r="B594" s="48"/>
      <c r="C594" s="48"/>
      <c r="D594" s="63"/>
      <c r="E594" s="56" t="s">
        <v>440</v>
      </c>
      <c r="F594" s="16"/>
      <c r="G594" s="97"/>
      <c r="H594" s="98"/>
      <c r="I594" s="28"/>
    </row>
    <row r="595" spans="1:9" s="32" customFormat="1" ht="45" x14ac:dyDescent="0.2">
      <c r="A595" s="48"/>
      <c r="B595" s="48"/>
      <c r="C595" s="48"/>
      <c r="D595" s="63"/>
      <c r="E595" s="63" t="s">
        <v>23</v>
      </c>
      <c r="F595" s="16">
        <v>16614365.000000002</v>
      </c>
      <c r="G595" s="97">
        <v>7.6</v>
      </c>
      <c r="H595" s="98">
        <v>1268778</v>
      </c>
      <c r="I595" s="28">
        <f>5300000+423752+50000-328565</f>
        <v>5445187</v>
      </c>
    </row>
    <row r="596" spans="1:9" s="32" customFormat="1" ht="15" x14ac:dyDescent="0.2">
      <c r="A596" s="48"/>
      <c r="B596" s="48"/>
      <c r="C596" s="48"/>
      <c r="D596" s="63"/>
      <c r="E596" s="56" t="s">
        <v>162</v>
      </c>
      <c r="F596" s="16"/>
      <c r="G596" s="39"/>
      <c r="H596" s="16"/>
      <c r="I596" s="28"/>
    </row>
    <row r="597" spans="1:9" s="32" customFormat="1" ht="45" x14ac:dyDescent="0.2">
      <c r="A597" s="48"/>
      <c r="B597" s="48"/>
      <c r="C597" s="48"/>
      <c r="D597" s="63"/>
      <c r="E597" s="63" t="s">
        <v>119</v>
      </c>
      <c r="F597" s="16">
        <v>7678722</v>
      </c>
      <c r="G597" s="97">
        <v>0</v>
      </c>
      <c r="H597" s="98">
        <v>0</v>
      </c>
      <c r="I597" s="28">
        <v>5380000</v>
      </c>
    </row>
    <row r="598" spans="1:9" s="32" customFormat="1" ht="28.9" customHeight="1" x14ac:dyDescent="0.2">
      <c r="A598" s="48" t="s">
        <v>281</v>
      </c>
      <c r="B598" s="48" t="s">
        <v>282</v>
      </c>
      <c r="C598" s="48" t="s">
        <v>44</v>
      </c>
      <c r="D598" s="63" t="s">
        <v>164</v>
      </c>
      <c r="E598" s="6"/>
      <c r="F598" s="16"/>
      <c r="G598" s="39"/>
      <c r="H598" s="16"/>
      <c r="I598" s="28">
        <f>I600+I602</f>
        <v>14992914</v>
      </c>
    </row>
    <row r="599" spans="1:9" s="32" customFormat="1" ht="15" x14ac:dyDescent="0.2">
      <c r="A599" s="48"/>
      <c r="B599" s="48"/>
      <c r="C599" s="48"/>
      <c r="D599" s="63"/>
      <c r="E599" s="56" t="s">
        <v>103</v>
      </c>
      <c r="F599" s="16"/>
      <c r="G599" s="39"/>
      <c r="H599" s="16"/>
      <c r="I599" s="28"/>
    </row>
    <row r="600" spans="1:9" s="32" customFormat="1" ht="101.25" customHeight="1" x14ac:dyDescent="0.2">
      <c r="A600" s="48"/>
      <c r="B600" s="48"/>
      <c r="C600" s="48"/>
      <c r="D600" s="63"/>
      <c r="E600" s="6" t="s">
        <v>120</v>
      </c>
      <c r="F600" s="16">
        <v>6992914</v>
      </c>
      <c r="G600" s="97"/>
      <c r="H600" s="98"/>
      <c r="I600" s="28">
        <f>100000+6892914</f>
        <v>6992914</v>
      </c>
    </row>
    <row r="601" spans="1:9" s="32" customFormat="1" ht="15" x14ac:dyDescent="0.2">
      <c r="A601" s="48"/>
      <c r="B601" s="48"/>
      <c r="C601" s="48"/>
      <c r="D601" s="63"/>
      <c r="E601" s="56" t="s">
        <v>208</v>
      </c>
      <c r="F601" s="16"/>
      <c r="G601" s="39"/>
      <c r="H601" s="16"/>
      <c r="I601" s="28"/>
    </row>
    <row r="602" spans="1:9" s="32" customFormat="1" ht="36.75" customHeight="1" x14ac:dyDescent="0.2">
      <c r="A602" s="48"/>
      <c r="B602" s="48"/>
      <c r="C602" s="48"/>
      <c r="D602" s="63"/>
      <c r="E602" s="6" t="s">
        <v>621</v>
      </c>
      <c r="F602" s="16">
        <v>48345440</v>
      </c>
      <c r="G602" s="97">
        <v>5.5</v>
      </c>
      <c r="H602" s="98">
        <v>2677334</v>
      </c>
      <c r="I602" s="28">
        <v>8000000</v>
      </c>
    </row>
    <row r="603" spans="1:9" s="45" customFormat="1" ht="15" x14ac:dyDescent="0.2">
      <c r="A603" s="48" t="s">
        <v>389</v>
      </c>
      <c r="B603" s="48" t="s">
        <v>380</v>
      </c>
      <c r="C603" s="48"/>
      <c r="D603" s="63" t="s">
        <v>112</v>
      </c>
      <c r="E603" s="6"/>
      <c r="F603" s="16"/>
      <c r="G603" s="39"/>
      <c r="H603" s="16"/>
      <c r="I603" s="28">
        <f>I604+I621+I788+I613+I738+I711</f>
        <v>825548160</v>
      </c>
    </row>
    <row r="604" spans="1:9" s="45" customFormat="1" ht="51.75" customHeight="1" x14ac:dyDescent="0.2">
      <c r="A604" s="44" t="s">
        <v>227</v>
      </c>
      <c r="B604" s="44" t="s">
        <v>114</v>
      </c>
      <c r="C604" s="44" t="s">
        <v>358</v>
      </c>
      <c r="D604" s="95" t="s">
        <v>115</v>
      </c>
      <c r="E604" s="6"/>
      <c r="F604" s="16"/>
      <c r="G604" s="64"/>
      <c r="H604" s="65"/>
      <c r="I604" s="28">
        <f>I606+I607+I608+I610+I611+I612</f>
        <v>36484752</v>
      </c>
    </row>
    <row r="605" spans="1:9" s="45" customFormat="1" ht="15" x14ac:dyDescent="0.2">
      <c r="A605" s="44"/>
      <c r="B605" s="44"/>
      <c r="C605" s="44"/>
      <c r="D605" s="95"/>
      <c r="E605" s="6" t="s">
        <v>103</v>
      </c>
      <c r="F605" s="16"/>
      <c r="G605" s="64"/>
      <c r="H605" s="65"/>
      <c r="I605" s="28"/>
    </row>
    <row r="606" spans="1:9" s="45" customFormat="1" ht="54.75" customHeight="1" x14ac:dyDescent="0.2">
      <c r="A606" s="44"/>
      <c r="B606" s="44"/>
      <c r="C606" s="44"/>
      <c r="D606" s="95"/>
      <c r="E606" s="6" t="s">
        <v>669</v>
      </c>
      <c r="F606" s="16">
        <v>175385148</v>
      </c>
      <c r="G606" s="64">
        <v>0</v>
      </c>
      <c r="H606" s="65">
        <v>0</v>
      </c>
      <c r="I606" s="28">
        <v>7277285</v>
      </c>
    </row>
    <row r="607" spans="1:9" s="45" customFormat="1" ht="63" customHeight="1" x14ac:dyDescent="0.2">
      <c r="A607" s="44"/>
      <c r="B607" s="44"/>
      <c r="C607" s="44"/>
      <c r="D607" s="95"/>
      <c r="E607" s="6" t="s">
        <v>670</v>
      </c>
      <c r="F607" s="16">
        <v>57086304</v>
      </c>
      <c r="G607" s="64">
        <v>46.3</v>
      </c>
      <c r="H607" s="65">
        <v>26435139</v>
      </c>
      <c r="I607" s="28">
        <v>11664946</v>
      </c>
    </row>
    <row r="608" spans="1:9" s="45" customFormat="1" ht="54.75" customHeight="1" x14ac:dyDescent="0.2">
      <c r="A608" s="44"/>
      <c r="B608" s="44"/>
      <c r="C608" s="44"/>
      <c r="D608" s="95"/>
      <c r="E608" s="6" t="s">
        <v>671</v>
      </c>
      <c r="F608" s="16">
        <v>79943725</v>
      </c>
      <c r="G608" s="64">
        <v>0</v>
      </c>
      <c r="H608" s="65">
        <v>0</v>
      </c>
      <c r="I608" s="28">
        <v>2403972</v>
      </c>
    </row>
    <row r="609" spans="1:9" s="45" customFormat="1" ht="15" x14ac:dyDescent="0.2">
      <c r="A609" s="44"/>
      <c r="B609" s="44"/>
      <c r="C609" s="44"/>
      <c r="D609" s="95"/>
      <c r="E609" s="6" t="s">
        <v>104</v>
      </c>
      <c r="F609" s="16"/>
      <c r="G609" s="64"/>
      <c r="H609" s="65"/>
      <c r="I609" s="28"/>
    </row>
    <row r="610" spans="1:9" s="45" customFormat="1" ht="54.75" customHeight="1" x14ac:dyDescent="0.2">
      <c r="A610" s="44"/>
      <c r="B610" s="44"/>
      <c r="C610" s="44"/>
      <c r="D610" s="95"/>
      <c r="E610" s="6" t="s">
        <v>672</v>
      </c>
      <c r="F610" s="16">
        <v>200000000</v>
      </c>
      <c r="G610" s="64">
        <v>97.9</v>
      </c>
      <c r="H610" s="65">
        <v>195768666</v>
      </c>
      <c r="I610" s="28">
        <f>867913+5208000-2326579</f>
        <v>3749334</v>
      </c>
    </row>
    <row r="611" spans="1:9" s="45" customFormat="1" ht="54.75" customHeight="1" x14ac:dyDescent="0.2">
      <c r="A611" s="44"/>
      <c r="B611" s="44"/>
      <c r="C611" s="44"/>
      <c r="D611" s="95"/>
      <c r="E611" s="6" t="s">
        <v>673</v>
      </c>
      <c r="F611" s="16">
        <v>32728233</v>
      </c>
      <c r="G611" s="64">
        <v>0</v>
      </c>
      <c r="H611" s="65">
        <v>0</v>
      </c>
      <c r="I611" s="28">
        <v>6889215</v>
      </c>
    </row>
    <row r="612" spans="1:9" s="45" customFormat="1" ht="54.75" customHeight="1" x14ac:dyDescent="0.2">
      <c r="A612" s="44"/>
      <c r="B612" s="44"/>
      <c r="C612" s="44"/>
      <c r="D612" s="95"/>
      <c r="E612" s="6" t="s">
        <v>674</v>
      </c>
      <c r="F612" s="16">
        <v>145134317</v>
      </c>
      <c r="G612" s="64">
        <v>96.6</v>
      </c>
      <c r="H612" s="65">
        <v>140134318</v>
      </c>
      <c r="I612" s="28">
        <v>4500000</v>
      </c>
    </row>
    <row r="613" spans="1:9" s="45" customFormat="1" ht="47.25" customHeight="1" x14ac:dyDescent="0.2">
      <c r="A613" s="44" t="s">
        <v>213</v>
      </c>
      <c r="B613" s="44" t="s">
        <v>117</v>
      </c>
      <c r="C613" s="44" t="s">
        <v>358</v>
      </c>
      <c r="D613" s="95" t="s">
        <v>118</v>
      </c>
      <c r="E613" s="6"/>
      <c r="F613" s="16"/>
      <c r="G613" s="64"/>
      <c r="H613" s="65"/>
      <c r="I613" s="28">
        <f>I615+I619</f>
        <v>38656352</v>
      </c>
    </row>
    <row r="614" spans="1:9" s="45" customFormat="1" ht="15" x14ac:dyDescent="0.2">
      <c r="A614" s="44"/>
      <c r="B614" s="44"/>
      <c r="C614" s="44"/>
      <c r="D614" s="95"/>
      <c r="E614" s="56" t="s">
        <v>207</v>
      </c>
      <c r="F614" s="16"/>
      <c r="G614" s="64"/>
      <c r="H614" s="65"/>
      <c r="I614" s="28"/>
    </row>
    <row r="615" spans="1:9" s="145" customFormat="1" ht="60.75" customHeight="1" x14ac:dyDescent="0.2">
      <c r="A615" s="144"/>
      <c r="B615" s="144"/>
      <c r="C615" s="144"/>
      <c r="D615" s="95"/>
      <c r="E615" s="6" t="s">
        <v>675</v>
      </c>
      <c r="F615" s="16">
        <v>37431904</v>
      </c>
      <c r="G615" s="17">
        <v>30.7</v>
      </c>
      <c r="H615" s="16">
        <v>11488305</v>
      </c>
      <c r="I615" s="28">
        <f>10362038+5000000+2500000+4600000-10000000+5000000</f>
        <v>17462038</v>
      </c>
    </row>
    <row r="616" spans="1:9" s="145" customFormat="1" ht="21" customHeight="1" x14ac:dyDescent="0.2">
      <c r="A616" s="144"/>
      <c r="B616" s="144"/>
      <c r="C616" s="144"/>
      <c r="D616" s="95"/>
      <c r="E616" s="8" t="s">
        <v>210</v>
      </c>
      <c r="F616" s="16"/>
      <c r="G616" s="16"/>
      <c r="H616" s="16"/>
      <c r="I616" s="29">
        <v>5262038</v>
      </c>
    </row>
    <row r="617" spans="1:9" s="32" customFormat="1" ht="15" x14ac:dyDescent="0.2">
      <c r="A617" s="48"/>
      <c r="B617" s="48"/>
      <c r="C617" s="48"/>
      <c r="D617" s="63"/>
      <c r="E617" s="8" t="s">
        <v>412</v>
      </c>
      <c r="F617" s="16"/>
      <c r="G617" s="39"/>
      <c r="H617" s="16"/>
      <c r="I617" s="29">
        <v>2500000</v>
      </c>
    </row>
    <row r="618" spans="1:9" s="32" customFormat="1" ht="15" x14ac:dyDescent="0.2">
      <c r="A618" s="48"/>
      <c r="B618" s="48"/>
      <c r="C618" s="48"/>
      <c r="D618" s="63"/>
      <c r="E618" s="56" t="s">
        <v>312</v>
      </c>
      <c r="F618" s="16"/>
      <c r="G618" s="39"/>
      <c r="H618" s="16"/>
      <c r="I618" s="28"/>
    </row>
    <row r="619" spans="1:9" s="32" customFormat="1" ht="60" x14ac:dyDescent="0.2">
      <c r="A619" s="48"/>
      <c r="B619" s="48"/>
      <c r="C619" s="48"/>
      <c r="D619" s="63"/>
      <c r="E619" s="6" t="s">
        <v>759</v>
      </c>
      <c r="F619" s="16">
        <v>40962663</v>
      </c>
      <c r="G619" s="39">
        <v>5.8</v>
      </c>
      <c r="H619" s="16">
        <v>2394943</v>
      </c>
      <c r="I619" s="28">
        <f>6606351+5000000+5000000+4587963</f>
        <v>21194314</v>
      </c>
    </row>
    <row r="620" spans="1:9" s="32" customFormat="1" ht="15" x14ac:dyDescent="0.2">
      <c r="A620" s="48"/>
      <c r="B620" s="48"/>
      <c r="C620" s="48"/>
      <c r="D620" s="63"/>
      <c r="E620" s="8" t="s">
        <v>210</v>
      </c>
      <c r="F620" s="16"/>
      <c r="G620" s="39"/>
      <c r="H620" s="16"/>
      <c r="I620" s="29">
        <v>106351</v>
      </c>
    </row>
    <row r="621" spans="1:9" s="45" customFormat="1" ht="84.75" customHeight="1" x14ac:dyDescent="0.2">
      <c r="A621" s="44" t="s">
        <v>391</v>
      </c>
      <c r="B621" s="44" t="s">
        <v>390</v>
      </c>
      <c r="C621" s="44" t="s">
        <v>358</v>
      </c>
      <c r="D621" s="95" t="s">
        <v>760</v>
      </c>
      <c r="E621" s="8"/>
      <c r="F621" s="20"/>
      <c r="G621" s="38"/>
      <c r="H621" s="20"/>
      <c r="I621" s="29">
        <f>I622+I625+I628+I633+I636+I639+I642+I644+I647+I650+I652+I654+I656+I658+I660+I662+I664+I666+I668+I673+I677+I681+I685+I688+I692+I696+I700+I704+I708+I631+I670</f>
        <v>383644655</v>
      </c>
    </row>
    <row r="622" spans="1:9" s="45" customFormat="1" ht="15" x14ac:dyDescent="0.2">
      <c r="A622" s="44"/>
      <c r="B622" s="44"/>
      <c r="C622" s="44"/>
      <c r="D622" s="95"/>
      <c r="E622" s="6" t="s">
        <v>292</v>
      </c>
      <c r="F622" s="42"/>
      <c r="G622" s="43"/>
      <c r="H622" s="42"/>
      <c r="I622" s="28">
        <v>10602630</v>
      </c>
    </row>
    <row r="623" spans="1:9" s="45" customFormat="1" ht="15" x14ac:dyDescent="0.2">
      <c r="A623" s="44"/>
      <c r="B623" s="44"/>
      <c r="C623" s="44"/>
      <c r="D623" s="95"/>
      <c r="E623" s="59" t="s">
        <v>412</v>
      </c>
      <c r="F623" s="42"/>
      <c r="G623" s="43"/>
      <c r="H623" s="42"/>
      <c r="I623" s="29">
        <v>10382630</v>
      </c>
    </row>
    <row r="624" spans="1:9" s="45" customFormat="1" ht="15" x14ac:dyDescent="0.2">
      <c r="A624" s="44"/>
      <c r="B624" s="44"/>
      <c r="C624" s="44"/>
      <c r="D624" s="95"/>
      <c r="E624" s="56" t="s">
        <v>103</v>
      </c>
      <c r="F624" s="20"/>
      <c r="G624" s="38"/>
      <c r="H624" s="20"/>
      <c r="I624" s="29"/>
    </row>
    <row r="625" spans="1:9" s="45" customFormat="1" ht="60.75" customHeight="1" x14ac:dyDescent="0.2">
      <c r="A625" s="44"/>
      <c r="B625" s="44"/>
      <c r="C625" s="44"/>
      <c r="D625" s="95"/>
      <c r="E625" s="6" t="s">
        <v>622</v>
      </c>
      <c r="F625" s="16">
        <v>80747794</v>
      </c>
      <c r="G625" s="112">
        <v>57.1</v>
      </c>
      <c r="H625" s="113">
        <v>46074865</v>
      </c>
      <c r="I625" s="28">
        <f>34270122+300000</f>
        <v>34570122</v>
      </c>
    </row>
    <row r="626" spans="1:9" s="45" customFormat="1" ht="15" x14ac:dyDescent="0.2">
      <c r="A626" s="44"/>
      <c r="B626" s="44"/>
      <c r="C626" s="44"/>
      <c r="D626" s="95"/>
      <c r="E626" s="8" t="s">
        <v>412</v>
      </c>
      <c r="F626" s="16"/>
      <c r="G626" s="112"/>
      <c r="H626" s="113"/>
      <c r="I626" s="29">
        <v>25152534</v>
      </c>
    </row>
    <row r="627" spans="1:9" s="45" customFormat="1" ht="15" x14ac:dyDescent="0.2">
      <c r="A627" s="44"/>
      <c r="B627" s="44"/>
      <c r="C627" s="44"/>
      <c r="D627" s="95"/>
      <c r="E627" s="8" t="s">
        <v>210</v>
      </c>
      <c r="F627" s="16"/>
      <c r="G627" s="112"/>
      <c r="H627" s="113"/>
      <c r="I627" s="29">
        <v>8217588</v>
      </c>
    </row>
    <row r="628" spans="1:9" s="45" customFormat="1" ht="45" x14ac:dyDescent="0.2">
      <c r="A628" s="44"/>
      <c r="B628" s="44"/>
      <c r="C628" s="44"/>
      <c r="D628" s="95"/>
      <c r="E628" s="6" t="s">
        <v>761</v>
      </c>
      <c r="F628" s="16">
        <v>5872643</v>
      </c>
      <c r="G628" s="112"/>
      <c r="H628" s="113"/>
      <c r="I628" s="28">
        <v>5721980</v>
      </c>
    </row>
    <row r="629" spans="1:9" s="45" customFormat="1" ht="15" x14ac:dyDescent="0.2">
      <c r="A629" s="44"/>
      <c r="B629" s="44"/>
      <c r="C629" s="44"/>
      <c r="D629" s="95"/>
      <c r="E629" s="8" t="s">
        <v>412</v>
      </c>
      <c r="F629" s="16"/>
      <c r="G629" s="112"/>
      <c r="H629" s="113"/>
      <c r="I629" s="29">
        <v>2441389</v>
      </c>
    </row>
    <row r="630" spans="1:9" s="45" customFormat="1" ht="15" x14ac:dyDescent="0.2">
      <c r="A630" s="44"/>
      <c r="B630" s="44"/>
      <c r="C630" s="44"/>
      <c r="D630" s="95"/>
      <c r="E630" s="8" t="s">
        <v>210</v>
      </c>
      <c r="F630" s="16"/>
      <c r="G630" s="112"/>
      <c r="H630" s="113"/>
      <c r="I630" s="29">
        <v>3010591</v>
      </c>
    </row>
    <row r="631" spans="1:9" s="32" customFormat="1" ht="60" x14ac:dyDescent="0.2">
      <c r="A631" s="48"/>
      <c r="B631" s="48"/>
      <c r="C631" s="48"/>
      <c r="D631" s="63"/>
      <c r="E631" s="6" t="s">
        <v>623</v>
      </c>
      <c r="F631" s="16">
        <v>8983333</v>
      </c>
      <c r="G631" s="112">
        <v>88.5</v>
      </c>
      <c r="H631" s="113">
        <v>7953333</v>
      </c>
      <c r="I631" s="28">
        <f>1000000+30000</f>
        <v>1030000</v>
      </c>
    </row>
    <row r="632" spans="1:9" s="45" customFormat="1" ht="15" x14ac:dyDescent="0.2">
      <c r="A632" s="44"/>
      <c r="B632" s="44"/>
      <c r="C632" s="44"/>
      <c r="D632" s="95"/>
      <c r="E632" s="95" t="s">
        <v>412</v>
      </c>
      <c r="F632" s="16"/>
      <c r="G632" s="112"/>
      <c r="H632" s="113"/>
      <c r="I632" s="29">
        <v>1000000</v>
      </c>
    </row>
    <row r="633" spans="1:9" s="45" customFormat="1" ht="45" customHeight="1" x14ac:dyDescent="0.2">
      <c r="A633" s="44"/>
      <c r="B633" s="44"/>
      <c r="C633" s="44"/>
      <c r="D633" s="95"/>
      <c r="E633" s="6" t="s">
        <v>406</v>
      </c>
      <c r="F633" s="16">
        <v>5784030</v>
      </c>
      <c r="G633" s="112">
        <v>0</v>
      </c>
      <c r="H633" s="113">
        <v>0</v>
      </c>
      <c r="I633" s="28">
        <v>5683374</v>
      </c>
    </row>
    <row r="634" spans="1:9" s="45" customFormat="1" ht="15" x14ac:dyDescent="0.2">
      <c r="A634" s="44"/>
      <c r="B634" s="44"/>
      <c r="C634" s="44"/>
      <c r="D634" s="95"/>
      <c r="E634" s="8" t="s">
        <v>412</v>
      </c>
      <c r="F634" s="16"/>
      <c r="G634" s="112"/>
      <c r="H634" s="113"/>
      <c r="I634" s="29">
        <v>5017374</v>
      </c>
    </row>
    <row r="635" spans="1:9" s="45" customFormat="1" ht="15" x14ac:dyDescent="0.2">
      <c r="A635" s="44"/>
      <c r="B635" s="44"/>
      <c r="C635" s="44"/>
      <c r="D635" s="95"/>
      <c r="E635" s="59" t="s">
        <v>210</v>
      </c>
      <c r="F635" s="16"/>
      <c r="G635" s="112"/>
      <c r="H635" s="113"/>
      <c r="I635" s="29">
        <v>466000</v>
      </c>
    </row>
    <row r="636" spans="1:9" s="45" customFormat="1" ht="30" x14ac:dyDescent="0.2">
      <c r="A636" s="44"/>
      <c r="B636" s="44"/>
      <c r="C636" s="44"/>
      <c r="D636" s="95"/>
      <c r="E636" s="6" t="s">
        <v>98</v>
      </c>
      <c r="F636" s="16">
        <v>9214534</v>
      </c>
      <c r="G636" s="112">
        <v>0</v>
      </c>
      <c r="H636" s="113">
        <v>0</v>
      </c>
      <c r="I636" s="28">
        <v>9062066</v>
      </c>
    </row>
    <row r="637" spans="1:9" s="45" customFormat="1" ht="15" x14ac:dyDescent="0.2">
      <c r="A637" s="44"/>
      <c r="B637" s="44"/>
      <c r="C637" s="44"/>
      <c r="D637" s="95"/>
      <c r="E637" s="59" t="s">
        <v>412</v>
      </c>
      <c r="F637" s="16"/>
      <c r="G637" s="112"/>
      <c r="H637" s="113"/>
      <c r="I637" s="29">
        <v>8246066</v>
      </c>
    </row>
    <row r="638" spans="1:9" s="45" customFormat="1" ht="15" x14ac:dyDescent="0.2">
      <c r="A638" s="44"/>
      <c r="B638" s="44"/>
      <c r="C638" s="44"/>
      <c r="D638" s="95"/>
      <c r="E638" s="59" t="s">
        <v>210</v>
      </c>
      <c r="F638" s="16"/>
      <c r="G638" s="112"/>
      <c r="H638" s="113"/>
      <c r="I638" s="29">
        <v>466000</v>
      </c>
    </row>
    <row r="639" spans="1:9" s="45" customFormat="1" ht="30" x14ac:dyDescent="0.2">
      <c r="A639" s="44"/>
      <c r="B639" s="44"/>
      <c r="C639" s="44"/>
      <c r="D639" s="95"/>
      <c r="E639" s="6" t="s">
        <v>121</v>
      </c>
      <c r="F639" s="16">
        <v>18638130</v>
      </c>
      <c r="G639" s="112">
        <v>0</v>
      </c>
      <c r="H639" s="113">
        <v>0</v>
      </c>
      <c r="I639" s="28">
        <v>18397294</v>
      </c>
    </row>
    <row r="640" spans="1:9" s="45" customFormat="1" ht="15" x14ac:dyDescent="0.2">
      <c r="A640" s="44"/>
      <c r="B640" s="44"/>
      <c r="C640" s="44"/>
      <c r="D640" s="95"/>
      <c r="E640" s="8" t="s">
        <v>412</v>
      </c>
      <c r="F640" s="16"/>
      <c r="G640" s="112"/>
      <c r="H640" s="113"/>
      <c r="I640" s="29">
        <v>17231294</v>
      </c>
    </row>
    <row r="641" spans="1:9" s="45" customFormat="1" ht="15" x14ac:dyDescent="0.2">
      <c r="A641" s="44"/>
      <c r="B641" s="44"/>
      <c r="C641" s="44"/>
      <c r="D641" s="95"/>
      <c r="E641" s="59" t="s">
        <v>210</v>
      </c>
      <c r="F641" s="16"/>
      <c r="G641" s="112"/>
      <c r="H641" s="113"/>
      <c r="I641" s="29">
        <v>466000</v>
      </c>
    </row>
    <row r="642" spans="1:9" s="45" customFormat="1" ht="30" x14ac:dyDescent="0.2">
      <c r="A642" s="44"/>
      <c r="B642" s="44"/>
      <c r="C642" s="44"/>
      <c r="D642" s="95"/>
      <c r="E642" s="6" t="s">
        <v>99</v>
      </c>
      <c r="F642" s="16">
        <v>10993655</v>
      </c>
      <c r="G642" s="112">
        <v>0</v>
      </c>
      <c r="H642" s="113">
        <v>0</v>
      </c>
      <c r="I642" s="28">
        <v>10983092</v>
      </c>
    </row>
    <row r="643" spans="1:9" s="45" customFormat="1" ht="15" x14ac:dyDescent="0.2">
      <c r="A643" s="44"/>
      <c r="B643" s="44"/>
      <c r="C643" s="44"/>
      <c r="D643" s="95"/>
      <c r="E643" s="59" t="s">
        <v>412</v>
      </c>
      <c r="F643" s="16"/>
      <c r="G643" s="112"/>
      <c r="H643" s="113"/>
      <c r="I643" s="29">
        <v>10583092</v>
      </c>
    </row>
    <row r="644" spans="1:9" s="45" customFormat="1" ht="45" x14ac:dyDescent="0.2">
      <c r="A644" s="44"/>
      <c r="B644" s="44"/>
      <c r="C644" s="44"/>
      <c r="D644" s="95"/>
      <c r="E644" s="6" t="s">
        <v>407</v>
      </c>
      <c r="F644" s="16">
        <v>15800042</v>
      </c>
      <c r="G644" s="112">
        <v>0</v>
      </c>
      <c r="H644" s="113">
        <v>0</v>
      </c>
      <c r="I644" s="28">
        <v>15618435</v>
      </c>
    </row>
    <row r="645" spans="1:9" s="45" customFormat="1" ht="15" x14ac:dyDescent="0.2">
      <c r="A645" s="44"/>
      <c r="B645" s="44"/>
      <c r="C645" s="44"/>
      <c r="D645" s="95"/>
      <c r="E645" s="59" t="s">
        <v>412</v>
      </c>
      <c r="F645" s="16"/>
      <c r="G645" s="112"/>
      <c r="H645" s="113"/>
      <c r="I645" s="29">
        <v>14552435</v>
      </c>
    </row>
    <row r="646" spans="1:9" s="45" customFormat="1" ht="15" x14ac:dyDescent="0.2">
      <c r="A646" s="44"/>
      <c r="B646" s="44"/>
      <c r="C646" s="44"/>
      <c r="D646" s="95"/>
      <c r="E646" s="8" t="s">
        <v>210</v>
      </c>
      <c r="F646" s="16"/>
      <c r="G646" s="112"/>
      <c r="H646" s="113"/>
      <c r="I646" s="29">
        <v>466000</v>
      </c>
    </row>
    <row r="647" spans="1:9" s="45" customFormat="1" ht="45" x14ac:dyDescent="0.2">
      <c r="A647" s="44"/>
      <c r="B647" s="44"/>
      <c r="C647" s="44"/>
      <c r="D647" s="95"/>
      <c r="E647" s="6" t="s">
        <v>762</v>
      </c>
      <c r="F647" s="16">
        <v>9760583</v>
      </c>
      <c r="G647" s="112">
        <v>0</v>
      </c>
      <c r="H647" s="113">
        <v>0</v>
      </c>
      <c r="I647" s="28">
        <v>9617501</v>
      </c>
    </row>
    <row r="648" spans="1:9" s="45" customFormat="1" ht="15" x14ac:dyDescent="0.2">
      <c r="A648" s="44"/>
      <c r="B648" s="44"/>
      <c r="C648" s="44"/>
      <c r="D648" s="95"/>
      <c r="E648" s="59" t="s">
        <v>412</v>
      </c>
      <c r="F648" s="16"/>
      <c r="G648" s="112"/>
      <c r="H648" s="113"/>
      <c r="I648" s="29">
        <v>8801501</v>
      </c>
    </row>
    <row r="649" spans="1:9" s="45" customFormat="1" ht="15" x14ac:dyDescent="0.2">
      <c r="A649" s="44"/>
      <c r="B649" s="44"/>
      <c r="C649" s="44"/>
      <c r="D649" s="95"/>
      <c r="E649" s="8" t="s">
        <v>210</v>
      </c>
      <c r="F649" s="16"/>
      <c r="G649" s="112"/>
      <c r="H649" s="113"/>
      <c r="I649" s="29">
        <v>466000</v>
      </c>
    </row>
    <row r="650" spans="1:9" s="45" customFormat="1" ht="63.75" customHeight="1" x14ac:dyDescent="0.2">
      <c r="A650" s="44"/>
      <c r="B650" s="44"/>
      <c r="C650" s="44"/>
      <c r="D650" s="95"/>
      <c r="E650" s="6" t="s">
        <v>408</v>
      </c>
      <c r="F650" s="16">
        <v>5375579</v>
      </c>
      <c r="G650" s="112">
        <v>0</v>
      </c>
      <c r="H650" s="113">
        <v>0</v>
      </c>
      <c r="I650" s="28">
        <v>5375579</v>
      </c>
    </row>
    <row r="651" spans="1:9" s="45" customFormat="1" ht="15" x14ac:dyDescent="0.2">
      <c r="A651" s="44"/>
      <c r="B651" s="44"/>
      <c r="C651" s="44"/>
      <c r="D651" s="95"/>
      <c r="E651" s="59" t="s">
        <v>412</v>
      </c>
      <c r="F651" s="16"/>
      <c r="G651" s="112"/>
      <c r="H651" s="113"/>
      <c r="I651" s="29">
        <v>5175579</v>
      </c>
    </row>
    <row r="652" spans="1:9" s="45" customFormat="1" ht="63.75" customHeight="1" x14ac:dyDescent="0.2">
      <c r="A652" s="44"/>
      <c r="B652" s="44"/>
      <c r="C652" s="44"/>
      <c r="D652" s="95"/>
      <c r="E652" s="6" t="s">
        <v>763</v>
      </c>
      <c r="F652" s="16">
        <v>7675479</v>
      </c>
      <c r="G652" s="112">
        <v>0</v>
      </c>
      <c r="H652" s="113">
        <v>0</v>
      </c>
      <c r="I652" s="28">
        <v>7675479</v>
      </c>
    </row>
    <row r="653" spans="1:9" s="45" customFormat="1" ht="15" x14ac:dyDescent="0.2">
      <c r="A653" s="44"/>
      <c r="B653" s="44"/>
      <c r="C653" s="44"/>
      <c r="D653" s="95"/>
      <c r="E653" s="8" t="s">
        <v>412</v>
      </c>
      <c r="F653" s="16"/>
      <c r="G653" s="112"/>
      <c r="H653" s="113"/>
      <c r="I653" s="29">
        <v>7425479</v>
      </c>
    </row>
    <row r="654" spans="1:9" s="45" customFormat="1" ht="63.75" customHeight="1" x14ac:dyDescent="0.2">
      <c r="A654" s="44"/>
      <c r="B654" s="44"/>
      <c r="C654" s="44"/>
      <c r="D654" s="95"/>
      <c r="E654" s="6" t="s">
        <v>764</v>
      </c>
      <c r="F654" s="16">
        <v>4647484</v>
      </c>
      <c r="G654" s="112">
        <v>0</v>
      </c>
      <c r="H654" s="113">
        <v>0</v>
      </c>
      <c r="I654" s="28">
        <v>4600000</v>
      </c>
    </row>
    <row r="655" spans="1:9" s="45" customFormat="1" ht="15" x14ac:dyDescent="0.2">
      <c r="A655" s="44"/>
      <c r="B655" s="44"/>
      <c r="C655" s="44"/>
      <c r="D655" s="95"/>
      <c r="E655" s="95" t="s">
        <v>412</v>
      </c>
      <c r="F655" s="16"/>
      <c r="G655" s="112"/>
      <c r="H655" s="113"/>
      <c r="I655" s="29">
        <v>4450000</v>
      </c>
    </row>
    <row r="656" spans="1:9" s="45" customFormat="1" ht="60" x14ac:dyDescent="0.2">
      <c r="A656" s="44"/>
      <c r="B656" s="44"/>
      <c r="C656" s="44"/>
      <c r="D656" s="95"/>
      <c r="E656" s="6" t="s">
        <v>765</v>
      </c>
      <c r="F656" s="16">
        <v>7293284</v>
      </c>
      <c r="G656" s="112">
        <v>0</v>
      </c>
      <c r="H656" s="113">
        <v>0</v>
      </c>
      <c r="I656" s="28">
        <v>7293284</v>
      </c>
    </row>
    <row r="657" spans="1:9" s="45" customFormat="1" ht="15" x14ac:dyDescent="0.2">
      <c r="A657" s="44"/>
      <c r="B657" s="44"/>
      <c r="C657" s="44"/>
      <c r="D657" s="95"/>
      <c r="E657" s="59" t="s">
        <v>412</v>
      </c>
      <c r="F657" s="16"/>
      <c r="G657" s="112"/>
      <c r="H657" s="113"/>
      <c r="I657" s="29">
        <v>7043284</v>
      </c>
    </row>
    <row r="658" spans="1:9" s="45" customFormat="1" ht="60" x14ac:dyDescent="0.2">
      <c r="A658" s="44"/>
      <c r="B658" s="44"/>
      <c r="C658" s="44"/>
      <c r="D658" s="95"/>
      <c r="E658" s="6" t="s">
        <v>766</v>
      </c>
      <c r="F658" s="16">
        <v>4474778</v>
      </c>
      <c r="G658" s="112">
        <v>0</v>
      </c>
      <c r="H658" s="113">
        <v>0</v>
      </c>
      <c r="I658" s="28">
        <v>4474778</v>
      </c>
    </row>
    <row r="659" spans="1:9" s="45" customFormat="1" ht="15" x14ac:dyDescent="0.2">
      <c r="A659" s="44"/>
      <c r="B659" s="44"/>
      <c r="C659" s="44"/>
      <c r="D659" s="95"/>
      <c r="E659" s="8" t="s">
        <v>412</v>
      </c>
      <c r="F659" s="16"/>
      <c r="G659" s="112"/>
      <c r="H659" s="113"/>
      <c r="I659" s="29">
        <v>4324778</v>
      </c>
    </row>
    <row r="660" spans="1:9" s="45" customFormat="1" ht="60" x14ac:dyDescent="0.2">
      <c r="A660" s="44"/>
      <c r="B660" s="44"/>
      <c r="C660" s="44"/>
      <c r="D660" s="95"/>
      <c r="E660" s="6" t="s">
        <v>767</v>
      </c>
      <c r="F660" s="16">
        <v>5295640</v>
      </c>
      <c r="G660" s="112">
        <v>0</v>
      </c>
      <c r="H660" s="113">
        <v>0</v>
      </c>
      <c r="I660" s="28">
        <v>5295640</v>
      </c>
    </row>
    <row r="661" spans="1:9" s="45" customFormat="1" ht="15" x14ac:dyDescent="0.2">
      <c r="A661" s="44"/>
      <c r="B661" s="44"/>
      <c r="C661" s="44"/>
      <c r="D661" s="95"/>
      <c r="E661" s="59" t="s">
        <v>412</v>
      </c>
      <c r="F661" s="16"/>
      <c r="G661" s="112"/>
      <c r="H661" s="113"/>
      <c r="I661" s="29">
        <v>5095640</v>
      </c>
    </row>
    <row r="662" spans="1:9" s="45" customFormat="1" ht="60" x14ac:dyDescent="0.2">
      <c r="A662" s="44"/>
      <c r="B662" s="44"/>
      <c r="C662" s="44"/>
      <c r="D662" s="95"/>
      <c r="E662" s="6" t="s">
        <v>768</v>
      </c>
      <c r="F662" s="16">
        <v>5646172</v>
      </c>
      <c r="G662" s="112">
        <v>0</v>
      </c>
      <c r="H662" s="113">
        <v>0</v>
      </c>
      <c r="I662" s="28">
        <v>5646172</v>
      </c>
    </row>
    <row r="663" spans="1:9" s="45" customFormat="1" ht="15" x14ac:dyDescent="0.2">
      <c r="A663" s="44"/>
      <c r="B663" s="44"/>
      <c r="C663" s="44"/>
      <c r="D663" s="95"/>
      <c r="E663" s="59" t="s">
        <v>412</v>
      </c>
      <c r="F663" s="16"/>
      <c r="G663" s="112"/>
      <c r="H663" s="113"/>
      <c r="I663" s="29">
        <v>5446172</v>
      </c>
    </row>
    <row r="664" spans="1:9" s="45" customFormat="1" ht="45" x14ac:dyDescent="0.2">
      <c r="A664" s="44"/>
      <c r="B664" s="44"/>
      <c r="C664" s="44"/>
      <c r="D664" s="95"/>
      <c r="E664" s="6" t="s">
        <v>24</v>
      </c>
      <c r="F664" s="16">
        <v>4902303</v>
      </c>
      <c r="G664" s="112">
        <v>0</v>
      </c>
      <c r="H664" s="113">
        <v>0</v>
      </c>
      <c r="I664" s="28">
        <v>4902303</v>
      </c>
    </row>
    <row r="665" spans="1:9" s="45" customFormat="1" ht="15" x14ac:dyDescent="0.2">
      <c r="A665" s="44"/>
      <c r="B665" s="44"/>
      <c r="C665" s="44"/>
      <c r="D665" s="95"/>
      <c r="E665" s="59" t="s">
        <v>412</v>
      </c>
      <c r="F665" s="16"/>
      <c r="G665" s="112"/>
      <c r="H665" s="113"/>
      <c r="I665" s="29">
        <v>4752303</v>
      </c>
    </row>
    <row r="666" spans="1:9" s="45" customFormat="1" ht="45" x14ac:dyDescent="0.2">
      <c r="A666" s="44"/>
      <c r="B666" s="44"/>
      <c r="C666" s="44"/>
      <c r="D666" s="95"/>
      <c r="E666" s="6" t="s">
        <v>624</v>
      </c>
      <c r="F666" s="16">
        <v>6839275</v>
      </c>
      <c r="G666" s="112">
        <v>0</v>
      </c>
      <c r="H666" s="113">
        <v>0</v>
      </c>
      <c r="I666" s="28">
        <v>6839275</v>
      </c>
    </row>
    <row r="667" spans="1:9" s="45" customFormat="1" ht="15" x14ac:dyDescent="0.2">
      <c r="A667" s="44"/>
      <c r="B667" s="44"/>
      <c r="C667" s="44"/>
      <c r="D667" s="95"/>
      <c r="E667" s="59" t="s">
        <v>412</v>
      </c>
      <c r="F667" s="16"/>
      <c r="G667" s="112"/>
      <c r="H667" s="113"/>
      <c r="I667" s="29">
        <v>6589275</v>
      </c>
    </row>
    <row r="668" spans="1:9" s="45" customFormat="1" ht="60" x14ac:dyDescent="0.2">
      <c r="A668" s="44"/>
      <c r="B668" s="44"/>
      <c r="C668" s="44"/>
      <c r="D668" s="95"/>
      <c r="E668" s="6" t="s">
        <v>769</v>
      </c>
      <c r="F668" s="16">
        <v>11640236</v>
      </c>
      <c r="G668" s="112">
        <v>0</v>
      </c>
      <c r="H668" s="113">
        <v>0</v>
      </c>
      <c r="I668" s="28">
        <v>11640236</v>
      </c>
    </row>
    <row r="669" spans="1:9" s="45" customFormat="1" ht="15" x14ac:dyDescent="0.2">
      <c r="A669" s="44"/>
      <c r="B669" s="44"/>
      <c r="C669" s="44"/>
      <c r="D669" s="95"/>
      <c r="E669" s="59" t="s">
        <v>412</v>
      </c>
      <c r="F669" s="16"/>
      <c r="G669" s="112"/>
      <c r="H669" s="113"/>
      <c r="I669" s="29">
        <v>11440236</v>
      </c>
    </row>
    <row r="670" spans="1:9" s="45" customFormat="1" ht="60" x14ac:dyDescent="0.2">
      <c r="A670" s="44"/>
      <c r="B670" s="44"/>
      <c r="C670" s="44"/>
      <c r="D670" s="95"/>
      <c r="E670" s="6" t="s">
        <v>676</v>
      </c>
      <c r="F670" s="16">
        <v>16386211</v>
      </c>
      <c r="G670" s="112">
        <v>88.2</v>
      </c>
      <c r="H670" s="113">
        <v>14458218</v>
      </c>
      <c r="I670" s="28">
        <f>327993+1600000</f>
        <v>1927993</v>
      </c>
    </row>
    <row r="671" spans="1:9" s="45" customFormat="1" ht="15" x14ac:dyDescent="0.2">
      <c r="A671" s="44"/>
      <c r="B671" s="44"/>
      <c r="C671" s="44"/>
      <c r="D671" s="95"/>
      <c r="E671" s="59" t="s">
        <v>412</v>
      </c>
      <c r="F671" s="16"/>
      <c r="G671" s="112"/>
      <c r="H671" s="113"/>
      <c r="I671" s="29">
        <v>1600000</v>
      </c>
    </row>
    <row r="672" spans="1:9" s="45" customFormat="1" ht="15" x14ac:dyDescent="0.2">
      <c r="A672" s="44"/>
      <c r="B672" s="44"/>
      <c r="C672" s="44"/>
      <c r="D672" s="95"/>
      <c r="E672" s="56" t="s">
        <v>104</v>
      </c>
      <c r="F672" s="20"/>
      <c r="G672" s="38"/>
      <c r="H672" s="20"/>
      <c r="I672" s="29"/>
    </row>
    <row r="673" spans="1:9" s="45" customFormat="1" ht="45" x14ac:dyDescent="0.2">
      <c r="A673" s="44"/>
      <c r="B673" s="44"/>
      <c r="C673" s="44"/>
      <c r="D673" s="95"/>
      <c r="E673" s="6" t="s">
        <v>625</v>
      </c>
      <c r="F673" s="16">
        <v>10240596</v>
      </c>
      <c r="G673" s="39">
        <v>0.5</v>
      </c>
      <c r="H673" s="16">
        <v>49594</v>
      </c>
      <c r="I673" s="28">
        <f>8739606+95000</f>
        <v>8834606</v>
      </c>
    </row>
    <row r="674" spans="1:9" s="45" customFormat="1" ht="15" x14ac:dyDescent="0.2">
      <c r="A674" s="44"/>
      <c r="B674" s="44"/>
      <c r="C674" s="44"/>
      <c r="D674" s="95"/>
      <c r="E674" s="8" t="s">
        <v>412</v>
      </c>
      <c r="F674" s="16"/>
      <c r="G674" s="39"/>
      <c r="H674" s="16"/>
      <c r="I674" s="29">
        <v>445732</v>
      </c>
    </row>
    <row r="675" spans="1:9" s="45" customFormat="1" ht="15" x14ac:dyDescent="0.2">
      <c r="A675" s="44"/>
      <c r="B675" s="44"/>
      <c r="C675" s="44"/>
      <c r="D675" s="95"/>
      <c r="E675" s="8" t="s">
        <v>210</v>
      </c>
      <c r="F675" s="20"/>
      <c r="G675" s="61"/>
      <c r="H675" s="62"/>
      <c r="I675" s="29">
        <v>8026881</v>
      </c>
    </row>
    <row r="676" spans="1:9" s="45" customFormat="1" ht="15" x14ac:dyDescent="0.2">
      <c r="A676" s="44"/>
      <c r="B676" s="44"/>
      <c r="C676" s="44"/>
      <c r="D676" s="95"/>
      <c r="E676" s="8" t="s">
        <v>211</v>
      </c>
      <c r="F676" s="20"/>
      <c r="G676" s="61"/>
      <c r="H676" s="62"/>
      <c r="I676" s="29">
        <v>49594</v>
      </c>
    </row>
    <row r="677" spans="1:9" s="45" customFormat="1" ht="44.25" customHeight="1" x14ac:dyDescent="0.2">
      <c r="A677" s="44"/>
      <c r="B677" s="44"/>
      <c r="C677" s="44"/>
      <c r="D677" s="95"/>
      <c r="E677" s="6" t="s">
        <v>626</v>
      </c>
      <c r="F677" s="16">
        <v>11811864</v>
      </c>
      <c r="G677" s="39">
        <v>0</v>
      </c>
      <c r="H677" s="16">
        <v>0</v>
      </c>
      <c r="I677" s="28">
        <v>8945021</v>
      </c>
    </row>
    <row r="678" spans="1:9" s="45" customFormat="1" ht="15" x14ac:dyDescent="0.2">
      <c r="A678" s="44"/>
      <c r="B678" s="44"/>
      <c r="C678" s="44"/>
      <c r="D678" s="95"/>
      <c r="E678" s="59" t="s">
        <v>412</v>
      </c>
      <c r="F678" s="16"/>
      <c r="G678" s="39"/>
      <c r="H678" s="16"/>
      <c r="I678" s="29">
        <v>3319273</v>
      </c>
    </row>
    <row r="679" spans="1:9" s="45" customFormat="1" ht="15" x14ac:dyDescent="0.2">
      <c r="A679" s="44"/>
      <c r="B679" s="44"/>
      <c r="C679" s="44"/>
      <c r="D679" s="95"/>
      <c r="E679" s="8" t="s">
        <v>210</v>
      </c>
      <c r="F679" s="20"/>
      <c r="G679" s="61"/>
      <c r="H679" s="62"/>
      <c r="I679" s="29">
        <v>5375748</v>
      </c>
    </row>
    <row r="680" spans="1:9" s="45" customFormat="1" ht="15" x14ac:dyDescent="0.2">
      <c r="A680" s="44"/>
      <c r="B680" s="44"/>
      <c r="C680" s="44"/>
      <c r="D680" s="95"/>
      <c r="E680" s="8" t="s">
        <v>211</v>
      </c>
      <c r="F680" s="20"/>
      <c r="G680" s="61"/>
      <c r="H680" s="62"/>
      <c r="I680" s="29">
        <v>198982</v>
      </c>
    </row>
    <row r="681" spans="1:9" s="45" customFormat="1" ht="45" x14ac:dyDescent="0.2">
      <c r="A681" s="44"/>
      <c r="B681" s="44"/>
      <c r="C681" s="44"/>
      <c r="D681" s="95"/>
      <c r="E681" s="6" t="s">
        <v>627</v>
      </c>
      <c r="F681" s="16">
        <v>13793504</v>
      </c>
      <c r="G681" s="39">
        <v>7.7</v>
      </c>
      <c r="H681" s="16">
        <v>1066113</v>
      </c>
      <c r="I681" s="28">
        <f>10707981+110000</f>
        <v>10817981</v>
      </c>
    </row>
    <row r="682" spans="1:9" s="45" customFormat="1" ht="15" x14ac:dyDescent="0.2">
      <c r="A682" s="44"/>
      <c r="B682" s="44"/>
      <c r="C682" s="44"/>
      <c r="D682" s="95"/>
      <c r="E682" s="59" t="s">
        <v>412</v>
      </c>
      <c r="F682" s="16"/>
      <c r="G682" s="39"/>
      <c r="H682" s="16"/>
      <c r="I682" s="29">
        <v>1096066</v>
      </c>
    </row>
    <row r="683" spans="1:9" s="45" customFormat="1" ht="15" x14ac:dyDescent="0.2">
      <c r="A683" s="44"/>
      <c r="B683" s="44"/>
      <c r="C683" s="44"/>
      <c r="D683" s="95"/>
      <c r="E683" s="8" t="s">
        <v>210</v>
      </c>
      <c r="F683" s="20"/>
      <c r="G683" s="61"/>
      <c r="H683" s="62"/>
      <c r="I683" s="29">
        <v>9291915</v>
      </c>
    </row>
    <row r="684" spans="1:9" s="45" customFormat="1" ht="15" x14ac:dyDescent="0.2">
      <c r="A684" s="44"/>
      <c r="B684" s="44"/>
      <c r="C684" s="44"/>
      <c r="D684" s="95"/>
      <c r="E684" s="8" t="s">
        <v>211</v>
      </c>
      <c r="F684" s="20"/>
      <c r="G684" s="61"/>
      <c r="H684" s="62"/>
      <c r="I684" s="29">
        <v>56387</v>
      </c>
    </row>
    <row r="685" spans="1:9" s="45" customFormat="1" ht="45" x14ac:dyDescent="0.2">
      <c r="A685" s="44"/>
      <c r="B685" s="44"/>
      <c r="C685" s="44"/>
      <c r="D685" s="95"/>
      <c r="E685" s="6" t="s">
        <v>628</v>
      </c>
      <c r="F685" s="16">
        <v>47244107</v>
      </c>
      <c r="G685" s="39">
        <v>26.4</v>
      </c>
      <c r="H685" s="16">
        <v>12478115</v>
      </c>
      <c r="I685" s="28">
        <f>36365992-1600000</f>
        <v>34765992</v>
      </c>
    </row>
    <row r="686" spans="1:9" s="45" customFormat="1" ht="15" x14ac:dyDescent="0.2">
      <c r="A686" s="44"/>
      <c r="B686" s="44"/>
      <c r="C686" s="44"/>
      <c r="D686" s="95"/>
      <c r="E686" s="59" t="s">
        <v>412</v>
      </c>
      <c r="F686" s="16"/>
      <c r="G686" s="39"/>
      <c r="H686" s="16"/>
      <c r="I686" s="29">
        <f>31257706-1600000</f>
        <v>29657706</v>
      </c>
    </row>
    <row r="687" spans="1:9" s="45" customFormat="1" ht="15" x14ac:dyDescent="0.2">
      <c r="A687" s="44"/>
      <c r="B687" s="44"/>
      <c r="C687" s="44"/>
      <c r="D687" s="95"/>
      <c r="E687" s="8" t="s">
        <v>210</v>
      </c>
      <c r="F687" s="20"/>
      <c r="G687" s="61"/>
      <c r="H687" s="62"/>
      <c r="I687" s="29">
        <v>3908286</v>
      </c>
    </row>
    <row r="688" spans="1:9" s="45" customFormat="1" ht="45" x14ac:dyDescent="0.2">
      <c r="A688" s="44"/>
      <c r="B688" s="44"/>
      <c r="C688" s="44"/>
      <c r="D688" s="95"/>
      <c r="E688" s="6" t="s">
        <v>629</v>
      </c>
      <c r="F688" s="16">
        <v>8353369</v>
      </c>
      <c r="G688" s="39"/>
      <c r="H688" s="16"/>
      <c r="I688" s="28">
        <v>6961301</v>
      </c>
    </row>
    <row r="689" spans="1:9" s="45" customFormat="1" ht="15" x14ac:dyDescent="0.2">
      <c r="A689" s="44"/>
      <c r="B689" s="44"/>
      <c r="C689" s="44"/>
      <c r="D689" s="95"/>
      <c r="E689" s="59" t="s">
        <v>412</v>
      </c>
      <c r="F689" s="16"/>
      <c r="G689" s="39"/>
      <c r="H689" s="16"/>
      <c r="I689" s="29">
        <v>925787</v>
      </c>
    </row>
    <row r="690" spans="1:9" s="45" customFormat="1" ht="15" x14ac:dyDescent="0.2">
      <c r="A690" s="44"/>
      <c r="B690" s="44"/>
      <c r="C690" s="44"/>
      <c r="D690" s="95"/>
      <c r="E690" s="8" t="s">
        <v>210</v>
      </c>
      <c r="F690" s="20"/>
      <c r="G690" s="61"/>
      <c r="H690" s="62"/>
      <c r="I690" s="29">
        <v>5913814</v>
      </c>
    </row>
    <row r="691" spans="1:9" s="45" customFormat="1" ht="15" x14ac:dyDescent="0.2">
      <c r="A691" s="44"/>
      <c r="B691" s="44"/>
      <c r="C691" s="44"/>
      <c r="D691" s="95"/>
      <c r="E691" s="8" t="s">
        <v>215</v>
      </c>
      <c r="F691" s="20"/>
      <c r="G691" s="61"/>
      <c r="H691" s="62"/>
      <c r="I691" s="29">
        <v>64362</v>
      </c>
    </row>
    <row r="692" spans="1:9" s="45" customFormat="1" ht="45" x14ac:dyDescent="0.2">
      <c r="A692" s="44"/>
      <c r="B692" s="44"/>
      <c r="C692" s="44"/>
      <c r="D692" s="95"/>
      <c r="E692" s="6" t="s">
        <v>630</v>
      </c>
      <c r="F692" s="16">
        <v>11994215</v>
      </c>
      <c r="G692" s="39">
        <v>7.5</v>
      </c>
      <c r="H692" s="16">
        <v>894735</v>
      </c>
      <c r="I692" s="28">
        <f>9276869+80000</f>
        <v>9356869</v>
      </c>
    </row>
    <row r="693" spans="1:9" s="45" customFormat="1" ht="15" x14ac:dyDescent="0.2">
      <c r="A693" s="44"/>
      <c r="B693" s="44"/>
      <c r="C693" s="44"/>
      <c r="D693" s="95"/>
      <c r="E693" s="59" t="s">
        <v>412</v>
      </c>
      <c r="F693" s="16"/>
      <c r="G693" s="39"/>
      <c r="H693" s="16"/>
      <c r="I693" s="29">
        <v>691271</v>
      </c>
    </row>
    <row r="694" spans="1:9" s="45" customFormat="1" ht="15" x14ac:dyDescent="0.2">
      <c r="A694" s="44"/>
      <c r="B694" s="44"/>
      <c r="C694" s="44"/>
      <c r="D694" s="95"/>
      <c r="E694" s="8" t="s">
        <v>210</v>
      </c>
      <c r="F694" s="20"/>
      <c r="G694" s="61"/>
      <c r="H694" s="62"/>
      <c r="I694" s="29">
        <v>8285598.75</v>
      </c>
    </row>
    <row r="695" spans="1:9" s="45" customFormat="1" ht="15" x14ac:dyDescent="0.2">
      <c r="A695" s="44"/>
      <c r="B695" s="44"/>
      <c r="C695" s="44"/>
      <c r="D695" s="95"/>
      <c r="E695" s="8" t="s">
        <v>211</v>
      </c>
      <c r="F695" s="20"/>
      <c r="G695" s="61"/>
      <c r="H695" s="62"/>
      <c r="I695" s="29">
        <v>30531</v>
      </c>
    </row>
    <row r="696" spans="1:9" s="45" customFormat="1" ht="45" x14ac:dyDescent="0.2">
      <c r="A696" s="44"/>
      <c r="B696" s="44"/>
      <c r="C696" s="44"/>
      <c r="D696" s="95"/>
      <c r="E696" s="6" t="s">
        <v>631</v>
      </c>
      <c r="F696" s="16">
        <v>7656138</v>
      </c>
      <c r="G696" s="39">
        <v>3.5</v>
      </c>
      <c r="H696" s="16">
        <v>270882</v>
      </c>
      <c r="I696" s="28">
        <v>5718751</v>
      </c>
    </row>
    <row r="697" spans="1:9" s="45" customFormat="1" ht="15" x14ac:dyDescent="0.2">
      <c r="A697" s="44"/>
      <c r="B697" s="44"/>
      <c r="C697" s="44"/>
      <c r="D697" s="95"/>
      <c r="E697" s="59" t="s">
        <v>412</v>
      </c>
      <c r="F697" s="16"/>
      <c r="G697" s="39"/>
      <c r="H697" s="16"/>
      <c r="I697" s="29">
        <v>1460897</v>
      </c>
    </row>
    <row r="698" spans="1:9" s="45" customFormat="1" ht="15" x14ac:dyDescent="0.2">
      <c r="A698" s="44"/>
      <c r="B698" s="44"/>
      <c r="C698" s="44"/>
      <c r="D698" s="95"/>
      <c r="E698" s="8" t="s">
        <v>210</v>
      </c>
      <c r="F698" s="20"/>
      <c r="G698" s="61"/>
      <c r="H698" s="62"/>
      <c r="I698" s="29">
        <v>4077854</v>
      </c>
    </row>
    <row r="699" spans="1:9" s="45" customFormat="1" ht="15" x14ac:dyDescent="0.2">
      <c r="A699" s="44"/>
      <c r="B699" s="44"/>
      <c r="C699" s="44"/>
      <c r="D699" s="95"/>
      <c r="E699" s="8" t="s">
        <v>211</v>
      </c>
      <c r="F699" s="20"/>
      <c r="G699" s="61"/>
      <c r="H699" s="62"/>
      <c r="I699" s="29">
        <v>77078</v>
      </c>
    </row>
    <row r="700" spans="1:9" s="45" customFormat="1" ht="45" x14ac:dyDescent="0.2">
      <c r="A700" s="44"/>
      <c r="B700" s="44"/>
      <c r="C700" s="44"/>
      <c r="D700" s="95"/>
      <c r="E700" s="6" t="s">
        <v>632</v>
      </c>
      <c r="F700" s="16">
        <v>4078095</v>
      </c>
      <c r="G700" s="39">
        <v>2</v>
      </c>
      <c r="H700" s="16">
        <v>81141</v>
      </c>
      <c r="I700" s="28">
        <v>2803795</v>
      </c>
    </row>
    <row r="701" spans="1:9" s="45" customFormat="1" ht="15" x14ac:dyDescent="0.2">
      <c r="A701" s="44"/>
      <c r="B701" s="44"/>
      <c r="C701" s="44"/>
      <c r="D701" s="95"/>
      <c r="E701" s="8" t="s">
        <v>412</v>
      </c>
      <c r="F701" s="16"/>
      <c r="G701" s="39"/>
      <c r="H701" s="16"/>
      <c r="I701" s="29">
        <v>920308</v>
      </c>
    </row>
    <row r="702" spans="1:9" s="45" customFormat="1" ht="15" x14ac:dyDescent="0.2">
      <c r="A702" s="44"/>
      <c r="B702" s="44"/>
      <c r="C702" s="44"/>
      <c r="D702" s="95"/>
      <c r="E702" s="8" t="s">
        <v>210</v>
      </c>
      <c r="F702" s="20"/>
      <c r="G702" s="61"/>
      <c r="H702" s="62"/>
      <c r="I702" s="29">
        <v>1781084</v>
      </c>
    </row>
    <row r="703" spans="1:9" s="45" customFormat="1" ht="15" x14ac:dyDescent="0.2">
      <c r="A703" s="44"/>
      <c r="B703" s="44"/>
      <c r="C703" s="44"/>
      <c r="D703" s="95"/>
      <c r="E703" s="8" t="s">
        <v>211</v>
      </c>
      <c r="F703" s="20"/>
      <c r="G703" s="61"/>
      <c r="H703" s="62"/>
      <c r="I703" s="29">
        <v>48989</v>
      </c>
    </row>
    <row r="704" spans="1:9" s="45" customFormat="1" ht="60" x14ac:dyDescent="0.2">
      <c r="A704" s="44"/>
      <c r="B704" s="44"/>
      <c r="C704" s="44"/>
      <c r="D704" s="95"/>
      <c r="E704" s="6" t="s">
        <v>633</v>
      </c>
      <c r="F704" s="16">
        <v>353209726</v>
      </c>
      <c r="G704" s="39">
        <v>83.342750023820116</v>
      </c>
      <c r="H704" s="16">
        <v>294374699</v>
      </c>
      <c r="I704" s="28">
        <v>58835027</v>
      </c>
    </row>
    <row r="705" spans="1:9" s="45" customFormat="1" ht="15" x14ac:dyDescent="0.2">
      <c r="A705" s="44"/>
      <c r="B705" s="44"/>
      <c r="C705" s="44"/>
      <c r="D705" s="95"/>
      <c r="E705" s="59" t="s">
        <v>412</v>
      </c>
      <c r="F705" s="16"/>
      <c r="G705" s="39"/>
      <c r="H705" s="16"/>
      <c r="I705" s="29">
        <v>50012185</v>
      </c>
    </row>
    <row r="706" spans="1:9" s="45" customFormat="1" ht="15" x14ac:dyDescent="0.2">
      <c r="A706" s="44"/>
      <c r="B706" s="44"/>
      <c r="C706" s="44"/>
      <c r="D706" s="95"/>
      <c r="E706" s="8" t="s">
        <v>210</v>
      </c>
      <c r="F706" s="20"/>
      <c r="G706" s="61"/>
      <c r="H706" s="62"/>
      <c r="I706" s="29">
        <v>7022842</v>
      </c>
    </row>
    <row r="707" spans="1:9" s="45" customFormat="1" ht="15" x14ac:dyDescent="0.2">
      <c r="A707" s="44"/>
      <c r="B707" s="44"/>
      <c r="C707" s="44"/>
      <c r="D707" s="95"/>
      <c r="E707" s="56" t="s">
        <v>297</v>
      </c>
      <c r="F707" s="20"/>
      <c r="G707" s="38"/>
      <c r="H707" s="20"/>
      <c r="I707" s="29"/>
    </row>
    <row r="708" spans="1:9" s="45" customFormat="1" ht="60" x14ac:dyDescent="0.2">
      <c r="A708" s="44"/>
      <c r="B708" s="44"/>
      <c r="C708" s="44"/>
      <c r="D708" s="95"/>
      <c r="E708" s="6" t="s">
        <v>634</v>
      </c>
      <c r="F708" s="41">
        <v>160309352</v>
      </c>
      <c r="G708" s="39">
        <v>64.72510349864055</v>
      </c>
      <c r="H708" s="16">
        <v>103760394</v>
      </c>
      <c r="I708" s="28">
        <v>49648079</v>
      </c>
    </row>
    <row r="709" spans="1:9" s="57" customFormat="1" ht="15" x14ac:dyDescent="0.2">
      <c r="A709" s="66"/>
      <c r="B709" s="66"/>
      <c r="C709" s="66"/>
      <c r="D709" s="114"/>
      <c r="E709" s="59" t="s">
        <v>412</v>
      </c>
      <c r="F709" s="67"/>
      <c r="G709" s="68"/>
      <c r="H709" s="69"/>
      <c r="I709" s="70">
        <v>29528914</v>
      </c>
    </row>
    <row r="710" spans="1:9" s="45" customFormat="1" ht="15" x14ac:dyDescent="0.2">
      <c r="A710" s="44"/>
      <c r="B710" s="44"/>
      <c r="C710" s="44"/>
      <c r="D710" s="95"/>
      <c r="E710" s="8" t="s">
        <v>210</v>
      </c>
      <c r="F710" s="20"/>
      <c r="G710" s="61"/>
      <c r="H710" s="62"/>
      <c r="I710" s="29">
        <v>18619165</v>
      </c>
    </row>
    <row r="711" spans="1:9" s="45" customFormat="1" ht="30" x14ac:dyDescent="0.2">
      <c r="A711" s="44" t="s">
        <v>248</v>
      </c>
      <c r="B711" s="44" t="s">
        <v>249</v>
      </c>
      <c r="C711" s="44" t="s">
        <v>358</v>
      </c>
      <c r="D711" s="123" t="s">
        <v>250</v>
      </c>
      <c r="E711" s="8"/>
      <c r="F711" s="20"/>
      <c r="G711" s="61"/>
      <c r="H711" s="62"/>
      <c r="I711" s="29">
        <f>I712+I715+I718+I720+I722+I724+I727+I730+I733+I736</f>
        <v>102381332</v>
      </c>
    </row>
    <row r="712" spans="1:9" s="45" customFormat="1" ht="15" x14ac:dyDescent="0.2">
      <c r="A712" s="44"/>
      <c r="B712" s="44"/>
      <c r="C712" s="44"/>
      <c r="D712" s="95"/>
      <c r="E712" s="6" t="s">
        <v>292</v>
      </c>
      <c r="F712" s="42"/>
      <c r="G712" s="43"/>
      <c r="H712" s="42"/>
      <c r="I712" s="28">
        <f>39161778-5843410+830000</f>
        <v>34148368</v>
      </c>
    </row>
    <row r="713" spans="1:9" s="45" customFormat="1" ht="15" x14ac:dyDescent="0.2">
      <c r="A713" s="44"/>
      <c r="B713" s="44"/>
      <c r="C713" s="44"/>
      <c r="D713" s="95"/>
      <c r="E713" s="59" t="s">
        <v>412</v>
      </c>
      <c r="F713" s="42"/>
      <c r="G713" s="43"/>
      <c r="H713" s="42"/>
      <c r="I713" s="29">
        <v>32634815</v>
      </c>
    </row>
    <row r="714" spans="1:9" s="45" customFormat="1" ht="15" x14ac:dyDescent="0.2">
      <c r="A714" s="44"/>
      <c r="B714" s="44"/>
      <c r="C714" s="44"/>
      <c r="D714" s="95"/>
      <c r="E714" s="56" t="s">
        <v>103</v>
      </c>
      <c r="F714" s="20"/>
      <c r="G714" s="38"/>
      <c r="H714" s="20"/>
      <c r="I714" s="29"/>
    </row>
    <row r="715" spans="1:9" s="45" customFormat="1" ht="45" x14ac:dyDescent="0.2">
      <c r="A715" s="44"/>
      <c r="B715" s="44"/>
      <c r="C715" s="44"/>
      <c r="D715" s="95"/>
      <c r="E715" s="6" t="s">
        <v>493</v>
      </c>
      <c r="F715" s="16">
        <v>139080629</v>
      </c>
      <c r="G715" s="39">
        <v>73.2</v>
      </c>
      <c r="H715" s="16">
        <v>101749204</v>
      </c>
      <c r="I715" s="28">
        <f>39770157-4897120+1515</f>
        <v>34874552</v>
      </c>
    </row>
    <row r="716" spans="1:9" s="45" customFormat="1" ht="15" x14ac:dyDescent="0.2">
      <c r="A716" s="44"/>
      <c r="B716" s="44"/>
      <c r="C716" s="44"/>
      <c r="D716" s="95"/>
      <c r="E716" s="59" t="s">
        <v>412</v>
      </c>
      <c r="F716" s="16"/>
      <c r="G716" s="39"/>
      <c r="H716" s="16"/>
      <c r="I716" s="29">
        <v>34770157</v>
      </c>
    </row>
    <row r="717" spans="1:9" s="45" customFormat="1" ht="15" x14ac:dyDescent="0.2">
      <c r="A717" s="44"/>
      <c r="B717" s="44"/>
      <c r="C717" s="44"/>
      <c r="D717" s="95"/>
      <c r="E717" s="56" t="s">
        <v>203</v>
      </c>
      <c r="F717" s="20"/>
      <c r="G717" s="38"/>
      <c r="H717" s="20"/>
      <c r="I717" s="29"/>
    </row>
    <row r="718" spans="1:9" s="45" customFormat="1" ht="60" x14ac:dyDescent="0.2">
      <c r="A718" s="44"/>
      <c r="B718" s="44"/>
      <c r="C718" s="44"/>
      <c r="D718" s="95"/>
      <c r="E718" s="6" t="s">
        <v>677</v>
      </c>
      <c r="F718" s="16">
        <v>5272338</v>
      </c>
      <c r="G718" s="39">
        <v>67.049893235221262</v>
      </c>
      <c r="H718" s="16">
        <v>3535097</v>
      </c>
      <c r="I718" s="28">
        <v>1581702</v>
      </c>
    </row>
    <row r="719" spans="1:9" s="45" customFormat="1" ht="15" x14ac:dyDescent="0.2">
      <c r="A719" s="44"/>
      <c r="B719" s="44"/>
      <c r="C719" s="44"/>
      <c r="D719" s="95"/>
      <c r="E719" s="59" t="s">
        <v>412</v>
      </c>
      <c r="F719" s="16"/>
      <c r="G719" s="39"/>
      <c r="H719" s="16"/>
      <c r="I719" s="29">
        <v>1318085</v>
      </c>
    </row>
    <row r="720" spans="1:9" s="45" customFormat="1" ht="45" x14ac:dyDescent="0.2">
      <c r="A720" s="44"/>
      <c r="B720" s="44"/>
      <c r="C720" s="44"/>
      <c r="D720" s="95"/>
      <c r="E720" s="6" t="s">
        <v>678</v>
      </c>
      <c r="F720" s="16">
        <v>21902089</v>
      </c>
      <c r="G720" s="39">
        <v>69.5</v>
      </c>
      <c r="H720" s="16">
        <v>15213422</v>
      </c>
      <c r="I720" s="28">
        <f>6527032-12745</f>
        <v>6514287</v>
      </c>
    </row>
    <row r="721" spans="1:9" s="45" customFormat="1" ht="15" x14ac:dyDescent="0.2">
      <c r="A721" s="44"/>
      <c r="B721" s="44"/>
      <c r="C721" s="44"/>
      <c r="D721" s="95"/>
      <c r="E721" s="59" t="s">
        <v>412</v>
      </c>
      <c r="F721" s="16"/>
      <c r="G721" s="39"/>
      <c r="H721" s="16"/>
      <c r="I721" s="29">
        <v>5439193</v>
      </c>
    </row>
    <row r="722" spans="1:9" s="45" customFormat="1" ht="75" x14ac:dyDescent="0.2">
      <c r="A722" s="44"/>
      <c r="B722" s="44"/>
      <c r="C722" s="44"/>
      <c r="D722" s="95"/>
      <c r="E722" s="6" t="s">
        <v>770</v>
      </c>
      <c r="F722" s="16">
        <v>4345904</v>
      </c>
      <c r="G722" s="39">
        <v>73.599999999999994</v>
      </c>
      <c r="H722" s="16">
        <v>3200222</v>
      </c>
      <c r="I722" s="28">
        <f>1283467-213911</f>
        <v>1069556</v>
      </c>
    </row>
    <row r="723" spans="1:9" s="45" customFormat="1" ht="15" x14ac:dyDescent="0.2">
      <c r="A723" s="44"/>
      <c r="B723" s="44"/>
      <c r="C723" s="44"/>
      <c r="D723" s="95"/>
      <c r="E723" s="59" t="s">
        <v>412</v>
      </c>
      <c r="F723" s="16"/>
      <c r="G723" s="39"/>
      <c r="H723" s="16"/>
      <c r="I723" s="29">
        <v>1069556</v>
      </c>
    </row>
    <row r="724" spans="1:9" s="45" customFormat="1" ht="30" x14ac:dyDescent="0.2">
      <c r="A724" s="44"/>
      <c r="B724" s="44"/>
      <c r="C724" s="44"/>
      <c r="D724" s="95"/>
      <c r="E724" s="6" t="s">
        <v>635</v>
      </c>
      <c r="F724" s="16">
        <v>31700446</v>
      </c>
      <c r="G724" s="39">
        <v>75.099999999999994</v>
      </c>
      <c r="H724" s="16">
        <v>23798631</v>
      </c>
      <c r="I724" s="28">
        <f>9452768-1575461</f>
        <v>7877307</v>
      </c>
    </row>
    <row r="725" spans="1:9" s="45" customFormat="1" ht="15" x14ac:dyDescent="0.2">
      <c r="A725" s="44"/>
      <c r="B725" s="44"/>
      <c r="C725" s="44"/>
      <c r="D725" s="95"/>
      <c r="E725" s="59" t="s">
        <v>412</v>
      </c>
      <c r="F725" s="16"/>
      <c r="G725" s="39"/>
      <c r="H725" s="16"/>
      <c r="I725" s="29">
        <v>7877307</v>
      </c>
    </row>
    <row r="726" spans="1:9" s="45" customFormat="1" ht="15" x14ac:dyDescent="0.2">
      <c r="A726" s="44"/>
      <c r="B726" s="44"/>
      <c r="C726" s="44"/>
      <c r="D726" s="95"/>
      <c r="E726" s="56" t="s">
        <v>297</v>
      </c>
      <c r="F726" s="20"/>
      <c r="G726" s="38"/>
      <c r="H726" s="20"/>
      <c r="I726" s="29"/>
    </row>
    <row r="727" spans="1:9" s="45" customFormat="1" ht="60" x14ac:dyDescent="0.2">
      <c r="A727" s="44"/>
      <c r="B727" s="44"/>
      <c r="C727" s="44"/>
      <c r="D727" s="95"/>
      <c r="E727" s="6" t="s">
        <v>636</v>
      </c>
      <c r="F727" s="16">
        <v>38895689</v>
      </c>
      <c r="G727" s="39">
        <v>74.73182696416562</v>
      </c>
      <c r="H727" s="16">
        <v>29067459</v>
      </c>
      <c r="I727" s="28">
        <v>6224580</v>
      </c>
    </row>
    <row r="728" spans="1:9" s="45" customFormat="1" ht="15" x14ac:dyDescent="0.2">
      <c r="A728" s="44"/>
      <c r="B728" s="44"/>
      <c r="C728" s="44"/>
      <c r="D728" s="95"/>
      <c r="E728" s="59" t="s">
        <v>412</v>
      </c>
      <c r="F728" s="16"/>
      <c r="G728" s="39"/>
      <c r="H728" s="16"/>
      <c r="I728" s="29">
        <v>5187150</v>
      </c>
    </row>
    <row r="729" spans="1:9" s="45" customFormat="1" ht="15" x14ac:dyDescent="0.2">
      <c r="A729" s="44"/>
      <c r="B729" s="44"/>
      <c r="C729" s="44"/>
      <c r="D729" s="95"/>
      <c r="E729" s="56" t="s">
        <v>231</v>
      </c>
      <c r="F729" s="20"/>
      <c r="G729" s="38"/>
      <c r="H729" s="20"/>
      <c r="I729" s="29"/>
    </row>
    <row r="730" spans="1:9" s="45" customFormat="1" ht="45" x14ac:dyDescent="0.2">
      <c r="A730" s="44"/>
      <c r="B730" s="44"/>
      <c r="C730" s="44"/>
      <c r="D730" s="95"/>
      <c r="E730" s="6" t="s">
        <v>637</v>
      </c>
      <c r="F730" s="16">
        <v>12169516</v>
      </c>
      <c r="G730" s="39">
        <v>67.3</v>
      </c>
      <c r="H730" s="16">
        <v>8195872</v>
      </c>
      <c r="I730" s="28">
        <f>3289610-296372</f>
        <v>2993238</v>
      </c>
    </row>
    <row r="731" spans="1:9" s="45" customFormat="1" ht="15" x14ac:dyDescent="0.2">
      <c r="A731" s="44"/>
      <c r="B731" s="44"/>
      <c r="C731" s="44"/>
      <c r="D731" s="95"/>
      <c r="E731" s="59" t="s">
        <v>412</v>
      </c>
      <c r="F731" s="16"/>
      <c r="G731" s="39"/>
      <c r="H731" s="16"/>
      <c r="I731" s="29">
        <v>2991342</v>
      </c>
    </row>
    <row r="732" spans="1:9" s="45" customFormat="1" ht="15" x14ac:dyDescent="0.2">
      <c r="A732" s="44"/>
      <c r="B732" s="44"/>
      <c r="C732" s="44"/>
      <c r="D732" s="95"/>
      <c r="E732" s="56" t="s">
        <v>362</v>
      </c>
      <c r="F732" s="20"/>
      <c r="G732" s="38"/>
      <c r="H732" s="20"/>
      <c r="I732" s="29"/>
    </row>
    <row r="733" spans="1:9" s="45" customFormat="1" ht="30" x14ac:dyDescent="0.2">
      <c r="A733" s="44"/>
      <c r="B733" s="44"/>
      <c r="C733" s="44"/>
      <c r="D733" s="95"/>
      <c r="E733" s="6" t="s">
        <v>771</v>
      </c>
      <c r="F733" s="16">
        <v>19311953</v>
      </c>
      <c r="G733" s="39">
        <v>29.8</v>
      </c>
      <c r="H733" s="16">
        <v>5755085</v>
      </c>
      <c r="I733" s="28">
        <f>5793587-334314</f>
        <v>5459273</v>
      </c>
    </row>
    <row r="734" spans="1:9" s="45" customFormat="1" ht="15" x14ac:dyDescent="0.2">
      <c r="A734" s="44"/>
      <c r="B734" s="44"/>
      <c r="C734" s="44"/>
      <c r="D734" s="95"/>
      <c r="E734" s="59" t="s">
        <v>412</v>
      </c>
      <c r="F734" s="16"/>
      <c r="G734" s="39"/>
      <c r="H734" s="16"/>
      <c r="I734" s="29">
        <v>4827989</v>
      </c>
    </row>
    <row r="735" spans="1:9" s="45" customFormat="1" ht="15" x14ac:dyDescent="0.2">
      <c r="A735" s="44"/>
      <c r="B735" s="44"/>
      <c r="C735" s="44"/>
      <c r="D735" s="95"/>
      <c r="E735" s="56" t="s">
        <v>176</v>
      </c>
      <c r="F735" s="20"/>
      <c r="G735" s="38"/>
      <c r="H735" s="20"/>
      <c r="I735" s="29"/>
    </row>
    <row r="736" spans="1:9" s="45" customFormat="1" ht="45" x14ac:dyDescent="0.2">
      <c r="A736" s="44"/>
      <c r="B736" s="44"/>
      <c r="C736" s="44"/>
      <c r="D736" s="95"/>
      <c r="E736" s="6" t="s">
        <v>638</v>
      </c>
      <c r="F736" s="16">
        <v>8213937</v>
      </c>
      <c r="G736" s="39">
        <v>74.707536714732541</v>
      </c>
      <c r="H736" s="16">
        <v>6136430</v>
      </c>
      <c r="I736" s="28">
        <f>1966163-327694</f>
        <v>1638469</v>
      </c>
    </row>
    <row r="737" spans="1:9" s="45" customFormat="1" ht="15" x14ac:dyDescent="0.2">
      <c r="A737" s="44"/>
      <c r="B737" s="44"/>
      <c r="C737" s="44"/>
      <c r="D737" s="95"/>
      <c r="E737" s="59" t="s">
        <v>412</v>
      </c>
      <c r="F737" s="16"/>
      <c r="G737" s="39"/>
      <c r="H737" s="16"/>
      <c r="I737" s="29">
        <v>1638469</v>
      </c>
    </row>
    <row r="738" spans="1:9" s="32" customFormat="1" ht="45.75" customHeight="1" x14ac:dyDescent="0.2">
      <c r="A738" s="44" t="s">
        <v>473</v>
      </c>
      <c r="B738" s="44" t="s">
        <v>474</v>
      </c>
      <c r="C738" s="44" t="s">
        <v>358</v>
      </c>
      <c r="D738" s="123" t="s">
        <v>689</v>
      </c>
      <c r="E738" s="6"/>
      <c r="F738" s="16"/>
      <c r="G738" s="64"/>
      <c r="H738" s="65"/>
      <c r="I738" s="28">
        <v>118603025</v>
      </c>
    </row>
    <row r="739" spans="1:9" s="45" customFormat="1" ht="15" x14ac:dyDescent="0.2">
      <c r="A739" s="44"/>
      <c r="B739" s="44"/>
      <c r="C739" s="44"/>
      <c r="D739" s="95"/>
      <c r="E739" s="59" t="s">
        <v>412</v>
      </c>
      <c r="F739" s="16"/>
      <c r="G739" s="39"/>
      <c r="H739" s="16"/>
      <c r="I739" s="29"/>
    </row>
    <row r="740" spans="1:9" s="45" customFormat="1" ht="15" x14ac:dyDescent="0.2">
      <c r="A740" s="44"/>
      <c r="B740" s="44"/>
      <c r="C740" s="44"/>
      <c r="D740" s="123"/>
      <c r="E740" s="8" t="s">
        <v>210</v>
      </c>
      <c r="F740" s="20"/>
      <c r="G740" s="61"/>
      <c r="H740" s="62"/>
      <c r="I740" s="29">
        <f>139604300-32861577</f>
        <v>106742723</v>
      </c>
    </row>
    <row r="741" spans="1:9" s="32" customFormat="1" ht="15.75" customHeight="1" x14ac:dyDescent="0.2">
      <c r="A741" s="48"/>
      <c r="B741" s="48"/>
      <c r="C741" s="48"/>
      <c r="D741" s="63"/>
      <c r="E741" s="56" t="s">
        <v>367</v>
      </c>
      <c r="F741" s="16"/>
      <c r="G741" s="64"/>
      <c r="H741" s="65"/>
      <c r="I741" s="28"/>
    </row>
    <row r="742" spans="1:9" s="32" customFormat="1" ht="45" x14ac:dyDescent="0.2">
      <c r="A742" s="48"/>
      <c r="B742" s="48"/>
      <c r="C742" s="48"/>
      <c r="D742" s="63"/>
      <c r="E742" s="6" t="s">
        <v>639</v>
      </c>
      <c r="F742" s="16">
        <v>11093769</v>
      </c>
      <c r="G742" s="104">
        <v>30.3</v>
      </c>
      <c r="H742" s="105">
        <v>3360426</v>
      </c>
      <c r="I742" s="28">
        <f>550510+7182833</f>
        <v>7733343</v>
      </c>
    </row>
    <row r="743" spans="1:9" s="45" customFormat="1" ht="15" x14ac:dyDescent="0.2">
      <c r="A743" s="44"/>
      <c r="B743" s="44"/>
      <c r="C743" s="44"/>
      <c r="D743" s="123"/>
      <c r="E743" s="8" t="s">
        <v>210</v>
      </c>
      <c r="F743" s="20"/>
      <c r="G743" s="61"/>
      <c r="H743" s="62"/>
      <c r="I743" s="29">
        <v>6960009</v>
      </c>
    </row>
    <row r="744" spans="1:9" s="32" customFormat="1" ht="15" x14ac:dyDescent="0.2">
      <c r="A744" s="48"/>
      <c r="B744" s="48"/>
      <c r="C744" s="48"/>
      <c r="D744" s="63"/>
      <c r="E744" s="56" t="s">
        <v>531</v>
      </c>
      <c r="F744" s="16"/>
      <c r="G744" s="64"/>
      <c r="H744" s="65"/>
      <c r="I744" s="28"/>
    </row>
    <row r="745" spans="1:9" s="32" customFormat="1" ht="45" x14ac:dyDescent="0.2">
      <c r="A745" s="48"/>
      <c r="B745" s="48"/>
      <c r="C745" s="48"/>
      <c r="D745" s="63"/>
      <c r="E745" s="6" t="s">
        <v>640</v>
      </c>
      <c r="F745" s="16">
        <v>9372310</v>
      </c>
      <c r="G745" s="104">
        <v>27</v>
      </c>
      <c r="H745" s="105">
        <v>2526904</v>
      </c>
      <c r="I745" s="28">
        <f>443577+6401829</f>
        <v>6845406</v>
      </c>
    </row>
    <row r="746" spans="1:9" s="45" customFormat="1" ht="15" x14ac:dyDescent="0.2">
      <c r="A746" s="44"/>
      <c r="B746" s="44"/>
      <c r="C746" s="44"/>
      <c r="D746" s="123"/>
      <c r="E746" s="8" t="s">
        <v>210</v>
      </c>
      <c r="F746" s="20"/>
      <c r="G746" s="61"/>
      <c r="H746" s="62"/>
      <c r="I746" s="29">
        <v>6160865</v>
      </c>
    </row>
    <row r="747" spans="1:9" s="32" customFormat="1" ht="45" x14ac:dyDescent="0.2">
      <c r="A747" s="48"/>
      <c r="B747" s="48"/>
      <c r="C747" s="48"/>
      <c r="D747" s="63"/>
      <c r="E747" s="6" t="s">
        <v>641</v>
      </c>
      <c r="F747" s="16">
        <v>9621422</v>
      </c>
      <c r="G747" s="104">
        <v>28.8</v>
      </c>
      <c r="H747" s="105">
        <v>2771110</v>
      </c>
      <c r="I747" s="28">
        <f>237670+6612642</f>
        <v>6850312</v>
      </c>
    </row>
    <row r="748" spans="1:9" s="45" customFormat="1" ht="15" x14ac:dyDescent="0.2">
      <c r="A748" s="44"/>
      <c r="B748" s="44"/>
      <c r="C748" s="44"/>
      <c r="D748" s="123"/>
      <c r="E748" s="8" t="s">
        <v>210</v>
      </c>
      <c r="F748" s="20"/>
      <c r="G748" s="61"/>
      <c r="H748" s="62"/>
      <c r="I748" s="29">
        <v>6165281</v>
      </c>
    </row>
    <row r="749" spans="1:9" s="32" customFormat="1" ht="15" x14ac:dyDescent="0.2">
      <c r="A749" s="48"/>
      <c r="B749" s="48"/>
      <c r="C749" s="48"/>
      <c r="D749" s="63"/>
      <c r="E749" s="56" t="s">
        <v>362</v>
      </c>
      <c r="F749" s="16"/>
      <c r="G749" s="64"/>
      <c r="H749" s="65"/>
      <c r="I749" s="28"/>
    </row>
    <row r="750" spans="1:9" s="32" customFormat="1" ht="45" x14ac:dyDescent="0.2">
      <c r="A750" s="48"/>
      <c r="B750" s="48"/>
      <c r="C750" s="48"/>
      <c r="D750" s="63"/>
      <c r="E750" s="6" t="s">
        <v>772</v>
      </c>
      <c r="F750" s="16">
        <v>12057441</v>
      </c>
      <c r="G750" s="104">
        <v>42.985174051442591</v>
      </c>
      <c r="H750" s="105">
        <v>5182912</v>
      </c>
      <c r="I750" s="28">
        <v>6874529</v>
      </c>
    </row>
    <row r="751" spans="1:9" s="45" customFormat="1" ht="15" x14ac:dyDescent="0.2">
      <c r="A751" s="44"/>
      <c r="B751" s="44"/>
      <c r="C751" s="44"/>
      <c r="D751" s="123"/>
      <c r="E751" s="8" t="s">
        <v>210</v>
      </c>
      <c r="F751" s="20"/>
      <c r="G751" s="61"/>
      <c r="H751" s="62"/>
      <c r="I751" s="29">
        <v>6187076</v>
      </c>
    </row>
    <row r="752" spans="1:9" s="32" customFormat="1" ht="45" x14ac:dyDescent="0.2">
      <c r="A752" s="48"/>
      <c r="B752" s="48"/>
      <c r="C752" s="48"/>
      <c r="D752" s="63"/>
      <c r="E752" s="86" t="s">
        <v>690</v>
      </c>
      <c r="F752" s="16">
        <v>9833770</v>
      </c>
      <c r="G752" s="104">
        <v>30.093250096351653</v>
      </c>
      <c r="H752" s="105">
        <v>2959301</v>
      </c>
      <c r="I752" s="28">
        <v>6874469</v>
      </c>
    </row>
    <row r="753" spans="1:9" s="45" customFormat="1" ht="15" x14ac:dyDescent="0.2">
      <c r="A753" s="44"/>
      <c r="B753" s="44"/>
      <c r="C753" s="44"/>
      <c r="D753" s="123"/>
      <c r="E753" s="8" t="s">
        <v>210</v>
      </c>
      <c r="F753" s="20"/>
      <c r="G753" s="61"/>
      <c r="H753" s="62"/>
      <c r="I753" s="29">
        <v>6187022</v>
      </c>
    </row>
    <row r="754" spans="1:9" s="32" customFormat="1" ht="15" x14ac:dyDescent="0.2">
      <c r="A754" s="48"/>
      <c r="B754" s="48"/>
      <c r="C754" s="48"/>
      <c r="D754" s="63"/>
      <c r="E754" s="56" t="s">
        <v>532</v>
      </c>
      <c r="F754" s="16"/>
      <c r="G754" s="64"/>
      <c r="H754" s="65"/>
      <c r="I754" s="28"/>
    </row>
    <row r="755" spans="1:9" s="32" customFormat="1" ht="45" x14ac:dyDescent="0.2">
      <c r="A755" s="48"/>
      <c r="B755" s="48"/>
      <c r="C755" s="48"/>
      <c r="D755" s="63"/>
      <c r="E755" s="86" t="s">
        <v>642</v>
      </c>
      <c r="F755" s="16">
        <v>10154079</v>
      </c>
      <c r="G755" s="104">
        <v>32.321365630501795</v>
      </c>
      <c r="H755" s="105">
        <v>3281937</v>
      </c>
      <c r="I755" s="28">
        <v>6872142</v>
      </c>
    </row>
    <row r="756" spans="1:9" s="45" customFormat="1" ht="15" x14ac:dyDescent="0.2">
      <c r="A756" s="44"/>
      <c r="B756" s="44"/>
      <c r="C756" s="44"/>
      <c r="D756" s="123"/>
      <c r="E756" s="8" t="s">
        <v>210</v>
      </c>
      <c r="F756" s="20"/>
      <c r="G756" s="61"/>
      <c r="H756" s="62"/>
      <c r="I756" s="29">
        <v>6184928</v>
      </c>
    </row>
    <row r="757" spans="1:9" s="32" customFormat="1" ht="45" x14ac:dyDescent="0.2">
      <c r="A757" s="48"/>
      <c r="B757" s="48"/>
      <c r="C757" s="48"/>
      <c r="D757" s="63"/>
      <c r="E757" s="6" t="s">
        <v>773</v>
      </c>
      <c r="F757" s="16">
        <v>10956692</v>
      </c>
      <c r="G757" s="104">
        <v>37.338331678941053</v>
      </c>
      <c r="H757" s="105">
        <v>4091046</v>
      </c>
      <c r="I757" s="28">
        <v>6865646</v>
      </c>
    </row>
    <row r="758" spans="1:9" s="32" customFormat="1" ht="15" x14ac:dyDescent="0.2">
      <c r="A758" s="48"/>
      <c r="B758" s="48"/>
      <c r="C758" s="48"/>
      <c r="D758" s="63"/>
      <c r="E758" s="8" t="s">
        <v>210</v>
      </c>
      <c r="F758" s="16"/>
      <c r="G758" s="104"/>
      <c r="H758" s="105"/>
      <c r="I758" s="28">
        <v>6179081</v>
      </c>
    </row>
    <row r="759" spans="1:9" s="32" customFormat="1" ht="45" x14ac:dyDescent="0.2">
      <c r="A759" s="48"/>
      <c r="B759" s="48"/>
      <c r="C759" s="48"/>
      <c r="D759" s="63"/>
      <c r="E759" s="6" t="s">
        <v>643</v>
      </c>
      <c r="F759" s="16">
        <v>9400535</v>
      </c>
      <c r="G759" s="104">
        <v>26.867758058450931</v>
      </c>
      <c r="H759" s="105">
        <v>2525713</v>
      </c>
      <c r="I759" s="28">
        <v>6874822</v>
      </c>
    </row>
    <row r="760" spans="1:9" s="32" customFormat="1" ht="15" x14ac:dyDescent="0.2">
      <c r="A760" s="48"/>
      <c r="B760" s="48"/>
      <c r="C760" s="48"/>
      <c r="D760" s="63"/>
      <c r="E760" s="8" t="s">
        <v>210</v>
      </c>
      <c r="F760" s="16"/>
      <c r="G760" s="104"/>
      <c r="H760" s="105"/>
      <c r="I760" s="28">
        <v>6187340</v>
      </c>
    </row>
    <row r="761" spans="1:9" s="32" customFormat="1" ht="45" x14ac:dyDescent="0.2">
      <c r="A761" s="48"/>
      <c r="B761" s="48"/>
      <c r="C761" s="48"/>
      <c r="D761" s="63"/>
      <c r="E761" s="6" t="s">
        <v>644</v>
      </c>
      <c r="F761" s="16">
        <v>10667057</v>
      </c>
      <c r="G761" s="104">
        <v>35.637767755436201</v>
      </c>
      <c r="H761" s="105">
        <v>3801501</v>
      </c>
      <c r="I761" s="28">
        <v>6865556</v>
      </c>
    </row>
    <row r="762" spans="1:9" s="32" customFormat="1" ht="15" x14ac:dyDescent="0.2">
      <c r="A762" s="48"/>
      <c r="B762" s="48"/>
      <c r="C762" s="48"/>
      <c r="D762" s="63"/>
      <c r="E762" s="8" t="s">
        <v>210</v>
      </c>
      <c r="F762" s="16"/>
      <c r="G762" s="104"/>
      <c r="H762" s="105"/>
      <c r="I762" s="28">
        <v>6179000</v>
      </c>
    </row>
    <row r="763" spans="1:9" s="32" customFormat="1" ht="21" customHeight="1" x14ac:dyDescent="0.2">
      <c r="A763" s="48"/>
      <c r="B763" s="48"/>
      <c r="C763" s="48"/>
      <c r="D763" s="63"/>
      <c r="E763" s="56" t="s">
        <v>8</v>
      </c>
      <c r="F763" s="16"/>
      <c r="G763" s="64"/>
      <c r="H763" s="65"/>
      <c r="I763" s="28"/>
    </row>
    <row r="764" spans="1:9" s="32" customFormat="1" ht="45" x14ac:dyDescent="0.2">
      <c r="A764" s="48"/>
      <c r="B764" s="48"/>
      <c r="C764" s="48"/>
      <c r="D764" s="63"/>
      <c r="E764" s="6" t="s">
        <v>645</v>
      </c>
      <c r="F764" s="16">
        <v>10464097</v>
      </c>
      <c r="G764" s="104">
        <v>26.337188961455539</v>
      </c>
      <c r="H764" s="105">
        <v>2755949</v>
      </c>
      <c r="I764" s="28">
        <v>7708148</v>
      </c>
    </row>
    <row r="765" spans="1:9" s="32" customFormat="1" ht="15" x14ac:dyDescent="0.2">
      <c r="A765" s="48"/>
      <c r="B765" s="48"/>
      <c r="C765" s="48"/>
      <c r="D765" s="63"/>
      <c r="E765" s="8" t="s">
        <v>210</v>
      </c>
      <c r="F765" s="16"/>
      <c r="G765" s="104"/>
      <c r="H765" s="105"/>
      <c r="I765" s="28">
        <v>6937333</v>
      </c>
    </row>
    <row r="766" spans="1:9" s="32" customFormat="1" ht="15" x14ac:dyDescent="0.2">
      <c r="A766" s="48"/>
      <c r="B766" s="48"/>
      <c r="C766" s="48"/>
      <c r="D766" s="63"/>
      <c r="E766" s="56" t="s">
        <v>9</v>
      </c>
      <c r="F766" s="16"/>
      <c r="G766" s="104"/>
      <c r="H766" s="105"/>
      <c r="I766" s="28"/>
    </row>
    <row r="767" spans="1:9" s="32" customFormat="1" ht="45" x14ac:dyDescent="0.2">
      <c r="A767" s="48"/>
      <c r="B767" s="48"/>
      <c r="C767" s="48"/>
      <c r="D767" s="63"/>
      <c r="E767" s="6" t="s">
        <v>774</v>
      </c>
      <c r="F767" s="16">
        <v>10154079</v>
      </c>
      <c r="G767" s="104">
        <v>50.886574744986724</v>
      </c>
      <c r="H767" s="105">
        <v>5167063</v>
      </c>
      <c r="I767" s="28">
        <v>4987016</v>
      </c>
    </row>
    <row r="768" spans="1:9" s="32" customFormat="1" ht="15" x14ac:dyDescent="0.2">
      <c r="A768" s="48"/>
      <c r="B768" s="48"/>
      <c r="C768" s="48"/>
      <c r="D768" s="63"/>
      <c r="E768" s="8" t="s">
        <v>210</v>
      </c>
      <c r="F768" s="16"/>
      <c r="G768" s="104"/>
      <c r="H768" s="105"/>
      <c r="I768" s="28">
        <v>4488314</v>
      </c>
    </row>
    <row r="769" spans="1:9" s="32" customFormat="1" ht="45" x14ac:dyDescent="0.2">
      <c r="A769" s="48"/>
      <c r="B769" s="48"/>
      <c r="C769" s="48"/>
      <c r="D769" s="63"/>
      <c r="E769" s="6" t="s">
        <v>646</v>
      </c>
      <c r="F769" s="16">
        <v>8729009</v>
      </c>
      <c r="G769" s="104">
        <v>43.156502645374751</v>
      </c>
      <c r="H769" s="105">
        <v>3767135</v>
      </c>
      <c r="I769" s="28">
        <v>4961874</v>
      </c>
    </row>
    <row r="770" spans="1:9" s="32" customFormat="1" ht="15" x14ac:dyDescent="0.2">
      <c r="A770" s="48"/>
      <c r="B770" s="48"/>
      <c r="C770" s="48"/>
      <c r="D770" s="63"/>
      <c r="E770" s="8" t="s">
        <v>210</v>
      </c>
      <c r="F770" s="16"/>
      <c r="G770" s="104"/>
      <c r="H770" s="105"/>
      <c r="I770" s="28">
        <v>4465687</v>
      </c>
    </row>
    <row r="771" spans="1:9" s="32" customFormat="1" ht="15" x14ac:dyDescent="0.2">
      <c r="A771" s="48"/>
      <c r="B771" s="48"/>
      <c r="C771" s="48"/>
      <c r="D771" s="63"/>
      <c r="E771" s="56" t="s">
        <v>276</v>
      </c>
      <c r="F771" s="16"/>
      <c r="G771" s="104"/>
      <c r="H771" s="105"/>
      <c r="I771" s="28"/>
    </row>
    <row r="772" spans="1:9" s="32" customFormat="1" ht="45" x14ac:dyDescent="0.2">
      <c r="A772" s="48"/>
      <c r="B772" s="48"/>
      <c r="C772" s="48"/>
      <c r="D772" s="63"/>
      <c r="E772" s="6" t="s">
        <v>775</v>
      </c>
      <c r="F772" s="16">
        <v>10868313</v>
      </c>
      <c r="G772" s="104">
        <v>36.833950218400965</v>
      </c>
      <c r="H772" s="105">
        <v>4003229</v>
      </c>
      <c r="I772" s="28">
        <v>6865084</v>
      </c>
    </row>
    <row r="773" spans="1:9" s="32" customFormat="1" ht="15" x14ac:dyDescent="0.2">
      <c r="A773" s="48"/>
      <c r="B773" s="48"/>
      <c r="C773" s="48"/>
      <c r="D773" s="63"/>
      <c r="E773" s="8" t="s">
        <v>210</v>
      </c>
      <c r="F773" s="16"/>
      <c r="G773" s="104"/>
      <c r="H773" s="105"/>
      <c r="I773" s="28">
        <v>6178576</v>
      </c>
    </row>
    <row r="774" spans="1:9" s="32" customFormat="1" ht="15" x14ac:dyDescent="0.2">
      <c r="A774" s="48"/>
      <c r="B774" s="48"/>
      <c r="C774" s="48"/>
      <c r="D774" s="63"/>
      <c r="E774" s="56" t="s">
        <v>296</v>
      </c>
      <c r="F774" s="16"/>
      <c r="G774" s="64"/>
      <c r="H774" s="65"/>
      <c r="I774" s="28"/>
    </row>
    <row r="775" spans="1:9" s="32" customFormat="1" ht="45" x14ac:dyDescent="0.2">
      <c r="A775" s="48"/>
      <c r="B775" s="48"/>
      <c r="C775" s="48"/>
      <c r="D775" s="63"/>
      <c r="E775" s="6" t="s">
        <v>776</v>
      </c>
      <c r="F775" s="16">
        <v>10274010</v>
      </c>
      <c r="G775" s="104">
        <v>24.78232939232101</v>
      </c>
      <c r="H775" s="105">
        <v>2546139</v>
      </c>
      <c r="I775" s="28">
        <v>7727871</v>
      </c>
    </row>
    <row r="776" spans="1:9" s="32" customFormat="1" ht="15" x14ac:dyDescent="0.2">
      <c r="A776" s="48"/>
      <c r="B776" s="48"/>
      <c r="C776" s="48"/>
      <c r="D776" s="63"/>
      <c r="E776" s="8" t="s">
        <v>210</v>
      </c>
      <c r="F776" s="16"/>
      <c r="G776" s="104"/>
      <c r="H776" s="105"/>
      <c r="I776" s="28">
        <v>6955084</v>
      </c>
    </row>
    <row r="777" spans="1:9" s="32" customFormat="1" ht="15" x14ac:dyDescent="0.2">
      <c r="A777" s="48"/>
      <c r="B777" s="48"/>
      <c r="C777" s="48"/>
      <c r="D777" s="63"/>
      <c r="E777" s="56" t="s">
        <v>440</v>
      </c>
      <c r="F777" s="16"/>
      <c r="G777" s="64"/>
      <c r="H777" s="65"/>
      <c r="I777" s="28"/>
    </row>
    <row r="778" spans="1:9" s="32" customFormat="1" ht="45" x14ac:dyDescent="0.2">
      <c r="A778" s="48"/>
      <c r="B778" s="48"/>
      <c r="C778" s="48"/>
      <c r="D778" s="63"/>
      <c r="E778" s="6" t="s">
        <v>423</v>
      </c>
      <c r="F778" s="16">
        <v>11130697</v>
      </c>
      <c r="G778" s="104">
        <v>38.329028271994112</v>
      </c>
      <c r="H778" s="105">
        <v>4266288</v>
      </c>
      <c r="I778" s="28">
        <v>6864409</v>
      </c>
    </row>
    <row r="779" spans="1:9" s="32" customFormat="1" ht="15" x14ac:dyDescent="0.2">
      <c r="A779" s="48"/>
      <c r="B779" s="48"/>
      <c r="C779" s="48"/>
      <c r="D779" s="63"/>
      <c r="E779" s="8" t="s">
        <v>210</v>
      </c>
      <c r="F779" s="16"/>
      <c r="G779" s="104"/>
      <c r="H779" s="105"/>
      <c r="I779" s="28">
        <v>6177968</v>
      </c>
    </row>
    <row r="780" spans="1:9" s="32" customFormat="1" ht="45" x14ac:dyDescent="0.2">
      <c r="A780" s="48"/>
      <c r="B780" s="48"/>
      <c r="C780" s="48"/>
      <c r="D780" s="63"/>
      <c r="E780" s="6" t="s">
        <v>647</v>
      </c>
      <c r="F780" s="16">
        <v>10196809</v>
      </c>
      <c r="G780" s="104">
        <v>32.685892223733916</v>
      </c>
      <c r="H780" s="105">
        <v>3332918</v>
      </c>
      <c r="I780" s="28">
        <v>6863891</v>
      </c>
    </row>
    <row r="781" spans="1:9" s="32" customFormat="1" ht="15" x14ac:dyDescent="0.2">
      <c r="A781" s="48"/>
      <c r="B781" s="48"/>
      <c r="C781" s="48"/>
      <c r="D781" s="63"/>
      <c r="E781" s="8" t="s">
        <v>210</v>
      </c>
      <c r="F781" s="16"/>
      <c r="G781" s="104"/>
      <c r="H781" s="105"/>
      <c r="I781" s="28">
        <v>6177502</v>
      </c>
    </row>
    <row r="782" spans="1:9" s="32" customFormat="1" ht="15" x14ac:dyDescent="0.2">
      <c r="A782" s="48"/>
      <c r="B782" s="48"/>
      <c r="C782" s="48"/>
      <c r="D782" s="63"/>
      <c r="E782" s="56" t="s">
        <v>176</v>
      </c>
      <c r="F782" s="16"/>
      <c r="G782" s="64"/>
      <c r="H782" s="65"/>
      <c r="I782" s="28"/>
    </row>
    <row r="783" spans="1:9" s="32" customFormat="1" ht="45" x14ac:dyDescent="0.2">
      <c r="A783" s="48"/>
      <c r="B783" s="48"/>
      <c r="C783" s="48"/>
      <c r="D783" s="63"/>
      <c r="E783" s="6" t="s">
        <v>648</v>
      </c>
      <c r="F783" s="16">
        <v>7736060</v>
      </c>
      <c r="G783" s="104">
        <v>35.607221246991358</v>
      </c>
      <c r="H783" s="105">
        <v>2754596</v>
      </c>
      <c r="I783" s="28">
        <v>4981464</v>
      </c>
    </row>
    <row r="784" spans="1:9" s="32" customFormat="1" ht="15" x14ac:dyDescent="0.2">
      <c r="A784" s="48"/>
      <c r="B784" s="48"/>
      <c r="C784" s="48"/>
      <c r="D784" s="63"/>
      <c r="E784" s="8" t="s">
        <v>210</v>
      </c>
      <c r="F784" s="16"/>
      <c r="G784" s="104"/>
      <c r="H784" s="105"/>
      <c r="I784" s="28">
        <v>4483318</v>
      </c>
    </row>
    <row r="785" spans="1:9" s="32" customFormat="1" ht="15" x14ac:dyDescent="0.2">
      <c r="A785" s="48"/>
      <c r="B785" s="48"/>
      <c r="C785" s="48"/>
      <c r="D785" s="63"/>
      <c r="E785" s="56" t="s">
        <v>162</v>
      </c>
      <c r="F785" s="16"/>
      <c r="G785" s="64"/>
      <c r="H785" s="65"/>
      <c r="I785" s="28"/>
    </row>
    <row r="786" spans="1:9" s="32" customFormat="1" ht="45" x14ac:dyDescent="0.2">
      <c r="A786" s="48"/>
      <c r="B786" s="48"/>
      <c r="C786" s="48"/>
      <c r="D786" s="63"/>
      <c r="E786" s="6" t="s">
        <v>691</v>
      </c>
      <c r="F786" s="16">
        <v>8488477</v>
      </c>
      <c r="G786" s="104">
        <v>41.249260615302369</v>
      </c>
      <c r="H786" s="105">
        <v>3501434</v>
      </c>
      <c r="I786" s="28">
        <v>4987043</v>
      </c>
    </row>
    <row r="787" spans="1:9" s="32" customFormat="1" ht="15" x14ac:dyDescent="0.2">
      <c r="A787" s="48"/>
      <c r="B787" s="48"/>
      <c r="C787" s="48"/>
      <c r="D787" s="63"/>
      <c r="E787" s="8" t="s">
        <v>210</v>
      </c>
      <c r="F787" s="16"/>
      <c r="G787" s="104"/>
      <c r="H787" s="105"/>
      <c r="I787" s="28">
        <v>4488339</v>
      </c>
    </row>
    <row r="788" spans="1:9" s="32" customFormat="1" ht="30" x14ac:dyDescent="0.2">
      <c r="A788" s="48" t="s">
        <v>158</v>
      </c>
      <c r="B788" s="48" t="s">
        <v>159</v>
      </c>
      <c r="C788" s="48" t="s">
        <v>358</v>
      </c>
      <c r="D788" s="63" t="s">
        <v>160</v>
      </c>
      <c r="E788" s="6"/>
      <c r="F788" s="41"/>
      <c r="G788" s="64"/>
      <c r="H788" s="65"/>
      <c r="I788" s="28">
        <f>I789+I794+I795+I797+I805+I809+I811+I813+I817+I792+I807+I799+I800+I801+I802+I803</f>
        <v>145778044</v>
      </c>
    </row>
    <row r="789" spans="1:9" s="32" customFormat="1" ht="15" x14ac:dyDescent="0.2">
      <c r="A789" s="48"/>
      <c r="B789" s="48"/>
      <c r="C789" s="48"/>
      <c r="D789" s="63"/>
      <c r="E789" s="6" t="s">
        <v>292</v>
      </c>
      <c r="F789" s="41"/>
      <c r="G789" s="64"/>
      <c r="H789" s="65"/>
      <c r="I789" s="28">
        <f>7417484+1500000+3000000</f>
        <v>11917484</v>
      </c>
    </row>
    <row r="790" spans="1:9" s="32" customFormat="1" ht="15" x14ac:dyDescent="0.2">
      <c r="A790" s="48"/>
      <c r="B790" s="48"/>
      <c r="C790" s="48"/>
      <c r="D790" s="63"/>
      <c r="E790" s="8" t="s">
        <v>214</v>
      </c>
      <c r="F790" s="41"/>
      <c r="G790" s="64"/>
      <c r="H790" s="65"/>
      <c r="I790" s="29">
        <v>7417484</v>
      </c>
    </row>
    <row r="791" spans="1:9" s="45" customFormat="1" ht="15" x14ac:dyDescent="0.2">
      <c r="A791" s="44"/>
      <c r="B791" s="44"/>
      <c r="C791" s="44"/>
      <c r="D791" s="95"/>
      <c r="E791" s="56" t="s">
        <v>251</v>
      </c>
      <c r="F791" s="16"/>
      <c r="G791" s="104"/>
      <c r="H791" s="105"/>
      <c r="I791" s="106"/>
    </row>
    <row r="792" spans="1:9" s="45" customFormat="1" ht="30" x14ac:dyDescent="0.2">
      <c r="A792" s="44"/>
      <c r="B792" s="44"/>
      <c r="C792" s="44"/>
      <c r="D792" s="95"/>
      <c r="E792" s="6" t="s">
        <v>584</v>
      </c>
      <c r="F792" s="16">
        <v>44354472</v>
      </c>
      <c r="G792" s="104">
        <v>67.8</v>
      </c>
      <c r="H792" s="105">
        <v>30073366</v>
      </c>
      <c r="I792" s="106">
        <v>2000000</v>
      </c>
    </row>
    <row r="793" spans="1:9" s="45" customFormat="1" ht="15" x14ac:dyDescent="0.2">
      <c r="A793" s="44"/>
      <c r="B793" s="44"/>
      <c r="C793" s="44"/>
      <c r="D793" s="95"/>
      <c r="E793" s="56" t="s">
        <v>310</v>
      </c>
      <c r="F793" s="16"/>
      <c r="G793" s="104"/>
      <c r="H793" s="105"/>
      <c r="I793" s="106"/>
    </row>
    <row r="794" spans="1:9" s="45" customFormat="1" ht="30" x14ac:dyDescent="0.2">
      <c r="A794" s="44"/>
      <c r="B794" s="44"/>
      <c r="C794" s="44"/>
      <c r="D794" s="95"/>
      <c r="E794" s="6" t="s">
        <v>425</v>
      </c>
      <c r="F794" s="16">
        <v>55817878</v>
      </c>
      <c r="G794" s="104">
        <v>2.9279006271073222</v>
      </c>
      <c r="H794" s="105">
        <v>1634292</v>
      </c>
      <c r="I794" s="106">
        <v>5000000</v>
      </c>
    </row>
    <row r="795" spans="1:9" s="45" customFormat="1" ht="45" x14ac:dyDescent="0.2">
      <c r="A795" s="44"/>
      <c r="B795" s="44"/>
      <c r="C795" s="44"/>
      <c r="D795" s="95"/>
      <c r="E795" s="6" t="s">
        <v>273</v>
      </c>
      <c r="F795" s="16">
        <v>125772467</v>
      </c>
      <c r="G795" s="104">
        <v>82.1</v>
      </c>
      <c r="H795" s="105">
        <v>103303114</v>
      </c>
      <c r="I795" s="106">
        <v>22000000</v>
      </c>
    </row>
    <row r="796" spans="1:9" s="45" customFormat="1" ht="15" x14ac:dyDescent="0.2">
      <c r="A796" s="44"/>
      <c r="B796" s="44"/>
      <c r="C796" s="44"/>
      <c r="D796" s="95"/>
      <c r="E796" s="8" t="s">
        <v>214</v>
      </c>
      <c r="F796" s="16"/>
      <c r="G796" s="104"/>
      <c r="H796" s="105"/>
      <c r="I796" s="106">
        <v>2000000</v>
      </c>
    </row>
    <row r="797" spans="1:9" s="45" customFormat="1" ht="39" customHeight="1" x14ac:dyDescent="0.2">
      <c r="A797" s="44"/>
      <c r="B797" s="44"/>
      <c r="C797" s="44"/>
      <c r="D797" s="95"/>
      <c r="E797" s="6" t="s">
        <v>620</v>
      </c>
      <c r="F797" s="16">
        <v>132896200.00000001</v>
      </c>
      <c r="G797" s="104">
        <v>9.1</v>
      </c>
      <c r="H797" s="105">
        <v>12028309</v>
      </c>
      <c r="I797" s="106">
        <f>37121469+5000000</f>
        <v>42121469</v>
      </c>
    </row>
    <row r="798" spans="1:9" s="45" customFormat="1" ht="15" x14ac:dyDescent="0.2">
      <c r="A798" s="44"/>
      <c r="B798" s="44"/>
      <c r="C798" s="44"/>
      <c r="D798" s="95"/>
      <c r="E798" s="8" t="s">
        <v>214</v>
      </c>
      <c r="F798" s="16"/>
      <c r="G798" s="104"/>
      <c r="H798" s="105"/>
      <c r="I798" s="106">
        <v>37121469</v>
      </c>
    </row>
    <row r="799" spans="1:9" s="45" customFormat="1" ht="35.25" customHeight="1" x14ac:dyDescent="0.2">
      <c r="A799" s="44"/>
      <c r="B799" s="44"/>
      <c r="C799" s="44"/>
      <c r="D799" s="95"/>
      <c r="E799" s="6" t="s">
        <v>588</v>
      </c>
      <c r="F799" s="16">
        <v>52537780</v>
      </c>
      <c r="G799" s="104">
        <v>58.4</v>
      </c>
      <c r="H799" s="105">
        <v>30696536</v>
      </c>
      <c r="I799" s="106">
        <v>8500000</v>
      </c>
    </row>
    <row r="800" spans="1:9" s="45" customFormat="1" ht="37.5" customHeight="1" x14ac:dyDescent="0.2">
      <c r="A800" s="44"/>
      <c r="B800" s="44"/>
      <c r="C800" s="44"/>
      <c r="D800" s="95"/>
      <c r="E800" s="6" t="s">
        <v>446</v>
      </c>
      <c r="F800" s="16">
        <v>58294842</v>
      </c>
      <c r="G800" s="104">
        <v>88</v>
      </c>
      <c r="H800" s="105">
        <v>51294842</v>
      </c>
      <c r="I800" s="106">
        <v>5000000</v>
      </c>
    </row>
    <row r="801" spans="1:9" s="45" customFormat="1" ht="45" x14ac:dyDescent="0.2">
      <c r="A801" s="44"/>
      <c r="B801" s="44"/>
      <c r="C801" s="44"/>
      <c r="D801" s="95"/>
      <c r="E801" s="6" t="s">
        <v>777</v>
      </c>
      <c r="F801" s="16">
        <v>47999365</v>
      </c>
      <c r="G801" s="104">
        <v>73.5</v>
      </c>
      <c r="H801" s="105">
        <v>35289365</v>
      </c>
      <c r="I801" s="106">
        <v>3000000</v>
      </c>
    </row>
    <row r="802" spans="1:9" s="45" customFormat="1" ht="60" x14ac:dyDescent="0.2">
      <c r="A802" s="44"/>
      <c r="B802" s="44"/>
      <c r="C802" s="44"/>
      <c r="D802" s="95"/>
      <c r="E802" s="6" t="s">
        <v>808</v>
      </c>
      <c r="F802" s="16">
        <v>103391177</v>
      </c>
      <c r="G802" s="104">
        <v>75.7</v>
      </c>
      <c r="H802" s="105">
        <v>78291177</v>
      </c>
      <c r="I802" s="106">
        <v>25000000</v>
      </c>
    </row>
    <row r="803" spans="1:9" s="45" customFormat="1" ht="75" x14ac:dyDescent="0.2">
      <c r="A803" s="44"/>
      <c r="B803" s="44"/>
      <c r="C803" s="44"/>
      <c r="D803" s="95"/>
      <c r="E803" s="6" t="s">
        <v>778</v>
      </c>
      <c r="F803" s="16">
        <v>3000000</v>
      </c>
      <c r="G803" s="104"/>
      <c r="H803" s="105"/>
      <c r="I803" s="106">
        <v>3000000</v>
      </c>
    </row>
    <row r="804" spans="1:9" s="45" customFormat="1" ht="15" x14ac:dyDescent="0.2">
      <c r="A804" s="44"/>
      <c r="B804" s="44"/>
      <c r="C804" s="44"/>
      <c r="D804" s="95"/>
      <c r="E804" s="56" t="s">
        <v>397</v>
      </c>
      <c r="F804" s="146"/>
      <c r="G804" s="147"/>
      <c r="H804" s="148"/>
      <c r="I804" s="149"/>
    </row>
    <row r="805" spans="1:9" s="45" customFormat="1" ht="54.75" customHeight="1" x14ac:dyDescent="0.2">
      <c r="A805" s="44"/>
      <c r="B805" s="44"/>
      <c r="C805" s="44"/>
      <c r="D805" s="95"/>
      <c r="E805" s="6" t="s">
        <v>649</v>
      </c>
      <c r="F805" s="16">
        <v>25191937</v>
      </c>
      <c r="G805" s="104">
        <v>90.1</v>
      </c>
      <c r="H805" s="105">
        <v>22693117</v>
      </c>
      <c r="I805" s="106">
        <v>685057</v>
      </c>
    </row>
    <row r="806" spans="1:9" s="45" customFormat="1" ht="15" x14ac:dyDescent="0.2">
      <c r="A806" s="44"/>
      <c r="B806" s="44"/>
      <c r="C806" s="44"/>
      <c r="D806" s="116"/>
      <c r="E806" s="59" t="s">
        <v>214</v>
      </c>
      <c r="F806" s="73"/>
      <c r="G806" s="117"/>
      <c r="H806" s="118"/>
      <c r="I806" s="119">
        <v>685057</v>
      </c>
    </row>
    <row r="807" spans="1:9" s="45" customFormat="1" ht="45" x14ac:dyDescent="0.2">
      <c r="A807" s="44"/>
      <c r="B807" s="44"/>
      <c r="C807" s="44"/>
      <c r="D807" s="95"/>
      <c r="E807" s="6" t="s">
        <v>668</v>
      </c>
      <c r="F807" s="16">
        <v>12813486</v>
      </c>
      <c r="G807" s="104">
        <v>92.1</v>
      </c>
      <c r="H807" s="105">
        <v>11802058</v>
      </c>
      <c r="I807" s="106">
        <f>300000+400000</f>
        <v>700000</v>
      </c>
    </row>
    <row r="808" spans="1:9" s="82" customFormat="1" ht="15" x14ac:dyDescent="0.2">
      <c r="A808" s="81"/>
      <c r="B808" s="81"/>
      <c r="C808" s="81"/>
      <c r="D808" s="115"/>
      <c r="E808" s="77" t="s">
        <v>312</v>
      </c>
      <c r="F808" s="16"/>
      <c r="G808" s="104"/>
      <c r="H808" s="105"/>
      <c r="I808" s="106"/>
    </row>
    <row r="809" spans="1:9" s="82" customFormat="1" ht="45" x14ac:dyDescent="0.2">
      <c r="A809" s="81"/>
      <c r="B809" s="81"/>
      <c r="C809" s="81"/>
      <c r="D809" s="115"/>
      <c r="E809" s="6" t="s">
        <v>7</v>
      </c>
      <c r="F809" s="16">
        <v>29786688.279999997</v>
      </c>
      <c r="G809" s="104">
        <v>11.9</v>
      </c>
      <c r="H809" s="105">
        <v>3555721</v>
      </c>
      <c r="I809" s="106">
        <v>8353249</v>
      </c>
    </row>
    <row r="810" spans="1:9" s="45" customFormat="1" ht="15" x14ac:dyDescent="0.2">
      <c r="A810" s="44"/>
      <c r="B810" s="44"/>
      <c r="C810" s="44"/>
      <c r="D810" s="116"/>
      <c r="E810" s="8" t="s">
        <v>214</v>
      </c>
      <c r="F810" s="73"/>
      <c r="G810" s="117"/>
      <c r="H810" s="118"/>
      <c r="I810" s="119">
        <v>3353249</v>
      </c>
    </row>
    <row r="811" spans="1:9" s="82" customFormat="1" ht="60" x14ac:dyDescent="0.2">
      <c r="A811" s="81"/>
      <c r="B811" s="81"/>
      <c r="C811" s="81"/>
      <c r="D811" s="115"/>
      <c r="E811" s="6" t="s">
        <v>779</v>
      </c>
      <c r="F811" s="16">
        <v>40962663</v>
      </c>
      <c r="G811" s="104">
        <v>5.8466486907845807</v>
      </c>
      <c r="H811" s="105">
        <v>2394943</v>
      </c>
      <c r="I811" s="106">
        <v>5381605</v>
      </c>
    </row>
    <row r="812" spans="1:9" s="45" customFormat="1" ht="15" x14ac:dyDescent="0.2">
      <c r="A812" s="44"/>
      <c r="B812" s="44"/>
      <c r="C812" s="44"/>
      <c r="D812" s="116"/>
      <c r="E812" s="8" t="s">
        <v>214</v>
      </c>
      <c r="F812" s="16"/>
      <c r="G812" s="150"/>
      <c r="H812" s="151"/>
      <c r="I812" s="110">
        <v>381605</v>
      </c>
    </row>
    <row r="813" spans="1:9" s="32" customFormat="1" ht="46.5" x14ac:dyDescent="0.2">
      <c r="A813" s="48"/>
      <c r="B813" s="48"/>
      <c r="C813" s="48"/>
      <c r="D813" s="63"/>
      <c r="E813" s="6" t="s">
        <v>780</v>
      </c>
      <c r="F813" s="16">
        <v>11254723</v>
      </c>
      <c r="G813" s="104"/>
      <c r="H813" s="105"/>
      <c r="I813" s="106">
        <f>1371066-1251886</f>
        <v>119180</v>
      </c>
    </row>
    <row r="814" spans="1:9" s="76" customFormat="1" ht="15" x14ac:dyDescent="0.2">
      <c r="A814" s="74"/>
      <c r="B814" s="74"/>
      <c r="C814" s="74"/>
      <c r="D814" s="120"/>
      <c r="E814" s="8" t="s">
        <v>214</v>
      </c>
      <c r="F814" s="16"/>
      <c r="G814" s="104"/>
      <c r="H814" s="105"/>
      <c r="I814" s="106">
        <f>1371066-1251886</f>
        <v>119180</v>
      </c>
    </row>
    <row r="815" spans="1:9" s="76" customFormat="1" ht="15" x14ac:dyDescent="0.2">
      <c r="A815" s="74"/>
      <c r="B815" s="74"/>
      <c r="C815" s="74"/>
      <c r="D815" s="120"/>
      <c r="E815" s="8" t="s">
        <v>215</v>
      </c>
      <c r="F815" s="16"/>
      <c r="G815" s="104"/>
      <c r="H815" s="105"/>
      <c r="I815" s="106">
        <v>111075</v>
      </c>
    </row>
    <row r="816" spans="1:9" s="76" customFormat="1" ht="15" x14ac:dyDescent="0.2">
      <c r="A816" s="74"/>
      <c r="B816" s="74"/>
      <c r="C816" s="74"/>
      <c r="D816" s="120"/>
      <c r="E816" s="83" t="s">
        <v>296</v>
      </c>
      <c r="F816" s="75"/>
      <c r="G816" s="117"/>
      <c r="H816" s="118"/>
      <c r="I816" s="111"/>
    </row>
    <row r="817" spans="1:9" s="76" customFormat="1" ht="45" x14ac:dyDescent="0.2">
      <c r="A817" s="48"/>
      <c r="B817" s="48"/>
      <c r="C817" s="48"/>
      <c r="D817" s="63"/>
      <c r="E817" s="6" t="s">
        <v>399</v>
      </c>
      <c r="F817" s="16">
        <v>58243218</v>
      </c>
      <c r="G817" s="104">
        <v>93.5</v>
      </c>
      <c r="H817" s="105">
        <v>54480686</v>
      </c>
      <c r="I817" s="106">
        <v>3000000</v>
      </c>
    </row>
    <row r="818" spans="1:9" s="57" customFormat="1" ht="15" x14ac:dyDescent="0.2">
      <c r="A818" s="44"/>
      <c r="B818" s="44"/>
      <c r="C818" s="44"/>
      <c r="D818" s="95"/>
      <c r="E818" s="8" t="s">
        <v>214</v>
      </c>
      <c r="F818" s="20"/>
      <c r="G818" s="108"/>
      <c r="H818" s="109"/>
      <c r="I818" s="110">
        <v>3000000</v>
      </c>
    </row>
    <row r="819" spans="1:9" s="76" customFormat="1" ht="20.25" customHeight="1" x14ac:dyDescent="0.2">
      <c r="A819" s="48" t="s">
        <v>487</v>
      </c>
      <c r="B819" s="48" t="s">
        <v>345</v>
      </c>
      <c r="C819" s="48" t="s">
        <v>291</v>
      </c>
      <c r="D819" s="63" t="s">
        <v>488</v>
      </c>
      <c r="E819" s="6"/>
      <c r="F819" s="16"/>
      <c r="G819" s="104"/>
      <c r="H819" s="105"/>
      <c r="I819" s="106">
        <f>I821+I822</f>
        <v>20166820</v>
      </c>
    </row>
    <row r="820" spans="1:9" s="76" customFormat="1" ht="13.5" customHeight="1" x14ac:dyDescent="0.2">
      <c r="A820" s="48"/>
      <c r="B820" s="48"/>
      <c r="C820" s="48"/>
      <c r="D820" s="63" t="s">
        <v>128</v>
      </c>
      <c r="E820" s="6"/>
      <c r="F820" s="16"/>
      <c r="G820" s="104"/>
      <c r="H820" s="105"/>
      <c r="I820" s="106"/>
    </row>
    <row r="821" spans="1:9" s="76" customFormat="1" ht="45" x14ac:dyDescent="0.2">
      <c r="A821" s="48"/>
      <c r="B821" s="48"/>
      <c r="C821" s="48"/>
      <c r="D821" s="8" t="s">
        <v>400</v>
      </c>
      <c r="E821" s="8" t="s">
        <v>292</v>
      </c>
      <c r="F821" s="16"/>
      <c r="G821" s="104"/>
      <c r="H821" s="105"/>
      <c r="I821" s="110">
        <f>100000+10000000+1066820+5000000</f>
        <v>16166820</v>
      </c>
    </row>
    <row r="822" spans="1:9" s="76" customFormat="1" ht="30" x14ac:dyDescent="0.2">
      <c r="A822" s="48"/>
      <c r="B822" s="48"/>
      <c r="C822" s="48"/>
      <c r="D822" s="8" t="s">
        <v>472</v>
      </c>
      <c r="E822" s="8" t="s">
        <v>292</v>
      </c>
      <c r="F822" s="16"/>
      <c r="G822" s="104"/>
      <c r="H822" s="105"/>
      <c r="I822" s="110">
        <v>4000000</v>
      </c>
    </row>
    <row r="823" spans="1:9" s="33" customFormat="1" ht="33" customHeight="1" x14ac:dyDescent="0.2">
      <c r="A823" s="35" t="s">
        <v>503</v>
      </c>
      <c r="B823" s="35"/>
      <c r="C823" s="9"/>
      <c r="D823" s="9" t="s">
        <v>43</v>
      </c>
      <c r="E823" s="10"/>
      <c r="F823" s="18"/>
      <c r="G823" s="19"/>
      <c r="H823" s="19"/>
      <c r="I823" s="27">
        <f>I825</f>
        <v>120000</v>
      </c>
    </row>
    <row r="824" spans="1:9" s="33" customFormat="1" ht="30.75" customHeight="1" x14ac:dyDescent="0.2">
      <c r="A824" s="35" t="s">
        <v>504</v>
      </c>
      <c r="B824" s="35"/>
      <c r="C824" s="9"/>
      <c r="D824" s="9" t="s">
        <v>43</v>
      </c>
      <c r="E824" s="10"/>
      <c r="F824" s="18"/>
      <c r="G824" s="19"/>
      <c r="H824" s="19"/>
      <c r="I824" s="27">
        <f>I825</f>
        <v>120000</v>
      </c>
    </row>
    <row r="825" spans="1:9" s="45" customFormat="1" ht="34.9" customHeight="1" x14ac:dyDescent="0.2">
      <c r="A825" s="48" t="s">
        <v>505</v>
      </c>
      <c r="B825" s="48" t="s">
        <v>506</v>
      </c>
      <c r="C825" s="48" t="s">
        <v>44</v>
      </c>
      <c r="D825" s="63" t="s">
        <v>507</v>
      </c>
      <c r="E825" s="6" t="s">
        <v>292</v>
      </c>
      <c r="F825" s="16"/>
      <c r="G825" s="17"/>
      <c r="H825" s="16"/>
      <c r="I825" s="28">
        <v>120000</v>
      </c>
    </row>
    <row r="826" spans="1:9" s="33" customFormat="1" ht="45.6" customHeight="1" x14ac:dyDescent="0.2">
      <c r="A826" s="35" t="s">
        <v>514</v>
      </c>
      <c r="B826" s="35"/>
      <c r="C826" s="9"/>
      <c r="D826" s="9" t="s">
        <v>77</v>
      </c>
      <c r="E826" s="10"/>
      <c r="F826" s="18"/>
      <c r="G826" s="19"/>
      <c r="H826" s="19"/>
      <c r="I826" s="27">
        <f>I827</f>
        <v>13300000</v>
      </c>
    </row>
    <row r="827" spans="1:9" s="33" customFormat="1" ht="45.6" customHeight="1" x14ac:dyDescent="0.2">
      <c r="A827" s="35" t="s">
        <v>515</v>
      </c>
      <c r="B827" s="35"/>
      <c r="C827" s="9"/>
      <c r="D827" s="9" t="s">
        <v>77</v>
      </c>
      <c r="E827" s="10"/>
      <c r="F827" s="18"/>
      <c r="G827" s="19"/>
      <c r="H827" s="19"/>
      <c r="I827" s="27">
        <f>I828</f>
        <v>13300000</v>
      </c>
    </row>
    <row r="828" spans="1:9" s="45" customFormat="1" ht="23.45" customHeight="1" x14ac:dyDescent="0.2">
      <c r="A828" s="48" t="s">
        <v>508</v>
      </c>
      <c r="B828" s="48" t="s">
        <v>509</v>
      </c>
      <c r="C828" s="48" t="s">
        <v>416</v>
      </c>
      <c r="D828" s="63" t="s">
        <v>510</v>
      </c>
      <c r="E828" s="6" t="s">
        <v>292</v>
      </c>
      <c r="F828" s="16"/>
      <c r="G828" s="17"/>
      <c r="H828" s="16"/>
      <c r="I828" s="28">
        <f>2300000+11000000</f>
        <v>13300000</v>
      </c>
    </row>
    <row r="829" spans="1:9" s="57" customFormat="1" ht="42.75" x14ac:dyDescent="0.2">
      <c r="A829" s="35" t="s">
        <v>255</v>
      </c>
      <c r="B829" s="35"/>
      <c r="C829" s="9"/>
      <c r="D829" s="9" t="s">
        <v>253</v>
      </c>
      <c r="E829" s="6"/>
      <c r="F829" s="16"/>
      <c r="G829" s="17"/>
      <c r="H829" s="16"/>
      <c r="I829" s="27">
        <f>I830</f>
        <v>18650000</v>
      </c>
    </row>
    <row r="830" spans="1:9" s="57" customFormat="1" ht="42.75" x14ac:dyDescent="0.2">
      <c r="A830" s="35" t="s">
        <v>256</v>
      </c>
      <c r="B830" s="35"/>
      <c r="C830" s="9"/>
      <c r="D830" s="9" t="s">
        <v>253</v>
      </c>
      <c r="E830" s="6"/>
      <c r="F830" s="16"/>
      <c r="G830" s="17"/>
      <c r="H830" s="16"/>
      <c r="I830" s="27">
        <f>I831</f>
        <v>18650000</v>
      </c>
    </row>
    <row r="831" spans="1:9" s="57" customFormat="1" ht="45" x14ac:dyDescent="0.2">
      <c r="A831" s="48" t="s">
        <v>432</v>
      </c>
      <c r="B831" s="48" t="s">
        <v>219</v>
      </c>
      <c r="C831" s="48" t="s">
        <v>291</v>
      </c>
      <c r="D831" s="63" t="s">
        <v>254</v>
      </c>
      <c r="E831" s="6" t="s">
        <v>292</v>
      </c>
      <c r="F831" s="16"/>
      <c r="G831" s="17"/>
      <c r="H831" s="16"/>
      <c r="I831" s="28">
        <f>20800000-2150000</f>
        <v>18650000</v>
      </c>
    </row>
    <row r="832" spans="1:9" s="33" customFormat="1" ht="50.45" customHeight="1" x14ac:dyDescent="0.2">
      <c r="A832" s="9" t="s">
        <v>123</v>
      </c>
      <c r="B832" s="35"/>
      <c r="C832" s="9"/>
      <c r="D832" s="9" t="s">
        <v>122</v>
      </c>
      <c r="E832" s="10"/>
      <c r="F832" s="18"/>
      <c r="G832" s="19"/>
      <c r="H832" s="19"/>
      <c r="I832" s="27">
        <f>I833</f>
        <v>6610000</v>
      </c>
    </row>
    <row r="833" spans="1:9" s="34" customFormat="1" ht="46.15" customHeight="1" x14ac:dyDescent="0.2">
      <c r="A833" s="9" t="s">
        <v>124</v>
      </c>
      <c r="B833" s="30"/>
      <c r="C833" s="30"/>
      <c r="D833" s="9" t="s">
        <v>122</v>
      </c>
      <c r="E833" s="31"/>
      <c r="F833" s="18"/>
      <c r="G833" s="19"/>
      <c r="H833" s="19"/>
      <c r="I833" s="27">
        <f>I834</f>
        <v>6610000</v>
      </c>
    </row>
    <row r="834" spans="1:9" s="32" customFormat="1" ht="18" customHeight="1" x14ac:dyDescent="0.2">
      <c r="A834" s="48" t="s">
        <v>125</v>
      </c>
      <c r="B834" s="48" t="s">
        <v>495</v>
      </c>
      <c r="C834" s="48" t="s">
        <v>288</v>
      </c>
      <c r="D834" s="63" t="s">
        <v>340</v>
      </c>
      <c r="E834" s="6" t="s">
        <v>292</v>
      </c>
      <c r="F834" s="16"/>
      <c r="G834" s="17"/>
      <c r="H834" s="16"/>
      <c r="I834" s="28">
        <f>I835</f>
        <v>6610000</v>
      </c>
    </row>
    <row r="835" spans="1:9" s="57" customFormat="1" ht="18" customHeight="1" x14ac:dyDescent="0.2">
      <c r="A835" s="44" t="s">
        <v>147</v>
      </c>
      <c r="B835" s="44" t="s">
        <v>450</v>
      </c>
      <c r="C835" s="44" t="s">
        <v>288</v>
      </c>
      <c r="D835" s="95" t="s">
        <v>451</v>
      </c>
      <c r="E835" s="8" t="s">
        <v>292</v>
      </c>
      <c r="F835" s="20"/>
      <c r="G835" s="21"/>
      <c r="H835" s="20"/>
      <c r="I835" s="29">
        <v>6610000</v>
      </c>
    </row>
    <row r="836" spans="1:9" s="33" customFormat="1" ht="35.25" customHeight="1" x14ac:dyDescent="0.2">
      <c r="A836" s="35" t="s">
        <v>216</v>
      </c>
      <c r="B836" s="35"/>
      <c r="C836" s="9"/>
      <c r="D836" s="9" t="s">
        <v>225</v>
      </c>
      <c r="E836" s="10"/>
      <c r="F836" s="18"/>
      <c r="G836" s="19"/>
      <c r="H836" s="19"/>
      <c r="I836" s="27">
        <f>I837</f>
        <v>13717677</v>
      </c>
    </row>
    <row r="837" spans="1:9" s="33" customFormat="1" ht="39" customHeight="1" x14ac:dyDescent="0.2">
      <c r="A837" s="35" t="s">
        <v>217</v>
      </c>
      <c r="B837" s="35"/>
      <c r="C837" s="9"/>
      <c r="D837" s="9" t="s">
        <v>225</v>
      </c>
      <c r="E837" s="10"/>
      <c r="F837" s="18"/>
      <c r="G837" s="19"/>
      <c r="H837" s="19"/>
      <c r="I837" s="27">
        <f>I838</f>
        <v>13717677</v>
      </c>
    </row>
    <row r="838" spans="1:9" s="45" customFormat="1" ht="45" x14ac:dyDescent="0.2">
      <c r="A838" s="48" t="s">
        <v>218</v>
      </c>
      <c r="B838" s="48" t="s">
        <v>219</v>
      </c>
      <c r="C838" s="48" t="s">
        <v>291</v>
      </c>
      <c r="D838" s="63" t="s">
        <v>226</v>
      </c>
      <c r="E838" s="6" t="s">
        <v>292</v>
      </c>
      <c r="F838" s="16"/>
      <c r="G838" s="17"/>
      <c r="H838" s="16"/>
      <c r="I838" s="28">
        <f>8717677+5000000</f>
        <v>13717677</v>
      </c>
    </row>
    <row r="839" spans="1:9" s="57" customFormat="1" ht="15" x14ac:dyDescent="0.2">
      <c r="A839" s="48"/>
      <c r="B839" s="48"/>
      <c r="C839" s="48"/>
      <c r="D839" s="8" t="s">
        <v>210</v>
      </c>
      <c r="E839" s="6"/>
      <c r="F839" s="16"/>
      <c r="G839" s="17"/>
      <c r="H839" s="16"/>
      <c r="I839" s="29">
        <v>8717677</v>
      </c>
    </row>
    <row r="840" spans="1:9" s="57" customFormat="1" ht="15" x14ac:dyDescent="0.2">
      <c r="A840" s="48"/>
      <c r="B840" s="48"/>
      <c r="C840" s="48"/>
      <c r="D840" s="59" t="s">
        <v>412</v>
      </c>
      <c r="E840" s="6"/>
      <c r="F840" s="16"/>
      <c r="G840" s="17"/>
      <c r="H840" s="16"/>
      <c r="I840" s="29">
        <v>5000000</v>
      </c>
    </row>
    <row r="841" spans="1:9" s="33" customFormat="1" ht="36.75" customHeight="1" x14ac:dyDescent="0.2">
      <c r="A841" s="35" t="s">
        <v>393</v>
      </c>
      <c r="B841" s="35"/>
      <c r="C841" s="9"/>
      <c r="D841" s="9" t="s">
        <v>392</v>
      </c>
      <c r="E841" s="10"/>
      <c r="F841" s="18"/>
      <c r="G841" s="19"/>
      <c r="H841" s="19"/>
      <c r="I841" s="27">
        <f>I842</f>
        <v>4109500</v>
      </c>
    </row>
    <row r="842" spans="1:9" s="33" customFormat="1" ht="36.75" customHeight="1" x14ac:dyDescent="0.2">
      <c r="A842" s="35" t="s">
        <v>394</v>
      </c>
      <c r="B842" s="35"/>
      <c r="C842" s="9"/>
      <c r="D842" s="9" t="s">
        <v>392</v>
      </c>
      <c r="E842" s="10"/>
      <c r="F842" s="18"/>
      <c r="G842" s="19"/>
      <c r="H842" s="19"/>
      <c r="I842" s="27">
        <f>I843+I846+I847</f>
        <v>4109500</v>
      </c>
    </row>
    <row r="843" spans="1:9" s="45" customFormat="1" ht="31.9" customHeight="1" x14ac:dyDescent="0.2">
      <c r="A843" s="48" t="s">
        <v>395</v>
      </c>
      <c r="B843" s="48" t="s">
        <v>511</v>
      </c>
      <c r="C843" s="48" t="s">
        <v>78</v>
      </c>
      <c r="D843" s="63" t="s">
        <v>413</v>
      </c>
      <c r="E843" s="6" t="s">
        <v>292</v>
      </c>
      <c r="F843" s="16"/>
      <c r="G843" s="17"/>
      <c r="H843" s="16"/>
      <c r="I843" s="28">
        <f>1429500-300000</f>
        <v>1129500</v>
      </c>
    </row>
    <row r="844" spans="1:9" s="45" customFormat="1" ht="15" x14ac:dyDescent="0.2">
      <c r="A844" s="48" t="s">
        <v>221</v>
      </c>
      <c r="B844" s="48" t="s">
        <v>345</v>
      </c>
      <c r="C844" s="48" t="s">
        <v>291</v>
      </c>
      <c r="D844" s="63" t="s">
        <v>488</v>
      </c>
      <c r="E844" s="6"/>
      <c r="F844" s="16"/>
      <c r="G844" s="17"/>
      <c r="H844" s="16"/>
      <c r="I844" s="28">
        <f>I846</f>
        <v>1000000</v>
      </c>
    </row>
    <row r="845" spans="1:9" s="45" customFormat="1" ht="15" x14ac:dyDescent="0.2">
      <c r="A845" s="48"/>
      <c r="B845" s="48"/>
      <c r="C845" s="48"/>
      <c r="D845" s="63" t="s">
        <v>128</v>
      </c>
      <c r="E845" s="6"/>
      <c r="F845" s="16"/>
      <c r="G845" s="17"/>
      <c r="H845" s="16"/>
      <c r="I845" s="28"/>
    </row>
    <row r="846" spans="1:9" s="45" customFormat="1" ht="39" customHeight="1" x14ac:dyDescent="0.2">
      <c r="A846" s="44"/>
      <c r="B846" s="44"/>
      <c r="C846" s="44"/>
      <c r="D846" s="95" t="s">
        <v>692</v>
      </c>
      <c r="E846" s="8" t="s">
        <v>292</v>
      </c>
      <c r="F846" s="20"/>
      <c r="G846" s="21"/>
      <c r="H846" s="20"/>
      <c r="I846" s="29">
        <v>1000000</v>
      </c>
    </row>
    <row r="847" spans="1:9" s="45" customFormat="1" ht="45" x14ac:dyDescent="0.2">
      <c r="A847" s="48" t="s">
        <v>222</v>
      </c>
      <c r="B847" s="48" t="s">
        <v>219</v>
      </c>
      <c r="C847" s="48" t="s">
        <v>291</v>
      </c>
      <c r="D847" s="63" t="s">
        <v>226</v>
      </c>
      <c r="E847" s="6" t="s">
        <v>292</v>
      </c>
      <c r="F847" s="16"/>
      <c r="G847" s="17"/>
      <c r="H847" s="16"/>
      <c r="I847" s="28">
        <f>1000000+980000</f>
        <v>1980000</v>
      </c>
    </row>
    <row r="848" spans="1:9" s="57" customFormat="1" ht="34.5" customHeight="1" x14ac:dyDescent="0.2">
      <c r="A848" s="35" t="s">
        <v>299</v>
      </c>
      <c r="B848" s="35"/>
      <c r="C848" s="9"/>
      <c r="D848" s="9" t="s">
        <v>42</v>
      </c>
      <c r="E848" s="6"/>
      <c r="F848" s="16"/>
      <c r="G848" s="17"/>
      <c r="H848" s="16"/>
      <c r="I848" s="27">
        <f>I849</f>
        <v>250000</v>
      </c>
    </row>
    <row r="849" spans="1:9" s="57" customFormat="1" ht="28.5" x14ac:dyDescent="0.2">
      <c r="A849" s="35" t="s">
        <v>300</v>
      </c>
      <c r="B849" s="35"/>
      <c r="C849" s="9"/>
      <c r="D849" s="9" t="s">
        <v>42</v>
      </c>
      <c r="E849" s="6"/>
      <c r="F849" s="16"/>
      <c r="G849" s="17"/>
      <c r="H849" s="16"/>
      <c r="I849" s="27">
        <f>I850</f>
        <v>250000</v>
      </c>
    </row>
    <row r="850" spans="1:9" s="57" customFormat="1" ht="15" x14ac:dyDescent="0.2">
      <c r="A850" s="48" t="s">
        <v>301</v>
      </c>
      <c r="B850" s="48" t="s">
        <v>85</v>
      </c>
      <c r="C850" s="48"/>
      <c r="D850" s="63" t="s">
        <v>87</v>
      </c>
      <c r="E850" s="6"/>
      <c r="F850" s="16"/>
      <c r="G850" s="17"/>
      <c r="H850" s="16"/>
      <c r="I850" s="28">
        <f>I851</f>
        <v>250000</v>
      </c>
    </row>
    <row r="851" spans="1:9" s="57" customFormat="1" ht="15" x14ac:dyDescent="0.2">
      <c r="A851" s="44" t="s">
        <v>302</v>
      </c>
      <c r="B851" s="44" t="s">
        <v>303</v>
      </c>
      <c r="C851" s="44" t="s">
        <v>86</v>
      </c>
      <c r="D851" s="95" t="s">
        <v>304</v>
      </c>
      <c r="E851" s="8"/>
      <c r="F851" s="20"/>
      <c r="G851" s="21"/>
      <c r="H851" s="20"/>
      <c r="I851" s="29">
        <v>250000</v>
      </c>
    </row>
    <row r="852" spans="1:9" s="57" customFormat="1" ht="28.5" x14ac:dyDescent="0.2">
      <c r="A852" s="35" t="s">
        <v>433</v>
      </c>
      <c r="B852" s="35"/>
      <c r="C852" s="9"/>
      <c r="D852" s="9" t="s">
        <v>298</v>
      </c>
      <c r="E852" s="6"/>
      <c r="F852" s="16"/>
      <c r="G852" s="17"/>
      <c r="H852" s="16"/>
      <c r="I852" s="27">
        <f>I853</f>
        <v>8630000</v>
      </c>
    </row>
    <row r="853" spans="1:9" s="57" customFormat="1" ht="28.5" x14ac:dyDescent="0.2">
      <c r="A853" s="35" t="s">
        <v>434</v>
      </c>
      <c r="B853" s="35"/>
      <c r="C853" s="9"/>
      <c r="D853" s="9" t="s">
        <v>298</v>
      </c>
      <c r="E853" s="6"/>
      <c r="F853" s="16"/>
      <c r="G853" s="17"/>
      <c r="H853" s="16"/>
      <c r="I853" s="27">
        <f>I854</f>
        <v>8630000</v>
      </c>
    </row>
    <row r="854" spans="1:9" s="57" customFormat="1" ht="45" x14ac:dyDescent="0.2">
      <c r="A854" s="48" t="s">
        <v>435</v>
      </c>
      <c r="B854" s="48" t="s">
        <v>219</v>
      </c>
      <c r="C854" s="48" t="s">
        <v>291</v>
      </c>
      <c r="D854" s="63" t="s">
        <v>254</v>
      </c>
      <c r="E854" s="6"/>
      <c r="F854" s="16"/>
      <c r="G854" s="17"/>
      <c r="H854" s="16"/>
      <c r="I854" s="28">
        <f>11000000-470000-1900000</f>
        <v>8630000</v>
      </c>
    </row>
    <row r="855" spans="1:9" ht="25.15" customHeight="1" x14ac:dyDescent="0.2">
      <c r="A855" s="126"/>
      <c r="B855" s="126"/>
      <c r="C855" s="126"/>
      <c r="D855" s="127" t="s">
        <v>286</v>
      </c>
      <c r="E855" s="128"/>
      <c r="F855" s="129"/>
      <c r="G855" s="130"/>
      <c r="H855" s="129"/>
      <c r="I855" s="37">
        <f>I841+I832+I826+I823+I134+I324+I107+I92+I53+I27+I8+I127+I836+I829+I852+I848+I23</f>
        <v>4895319435.7299995</v>
      </c>
    </row>
    <row r="856" spans="1:9" ht="12.75" x14ac:dyDescent="0.2">
      <c r="G856" s="159"/>
      <c r="H856" s="159"/>
    </row>
    <row r="857" spans="1:9" ht="54" customHeight="1" x14ac:dyDescent="0.3">
      <c r="B857" s="162" t="s">
        <v>498</v>
      </c>
      <c r="C857" s="162"/>
      <c r="D857" s="162"/>
      <c r="E857" s="162"/>
      <c r="F857" s="26"/>
      <c r="G857" s="156" t="s">
        <v>373</v>
      </c>
      <c r="H857" s="157"/>
      <c r="I857" s="22"/>
    </row>
    <row r="858" spans="1:9" ht="12.75" x14ac:dyDescent="0.2"/>
    <row r="859" spans="1:9" ht="12.75" x14ac:dyDescent="0.2"/>
    <row r="860" spans="1:9" ht="12.75" x14ac:dyDescent="0.2"/>
    <row r="861" spans="1:9" ht="12.75" x14ac:dyDescent="0.2"/>
    <row r="862" spans="1:9" ht="12.75" x14ac:dyDescent="0.2"/>
    <row r="863" spans="1:9" ht="12.75" x14ac:dyDescent="0.2"/>
    <row r="864" spans="1:9"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row r="1002" ht="12.75" x14ac:dyDescent="0.2"/>
    <row r="1003" ht="12.75" x14ac:dyDescent="0.2"/>
    <row r="1004" ht="12.75" x14ac:dyDescent="0.2"/>
    <row r="1005" ht="12.75" x14ac:dyDescent="0.2"/>
    <row r="1006" ht="12.75" x14ac:dyDescent="0.2"/>
    <row r="1007" ht="12.75" x14ac:dyDescent="0.2"/>
    <row r="1008" ht="12.75" x14ac:dyDescent="0.2"/>
    <row r="1009" ht="12.75" x14ac:dyDescent="0.2"/>
    <row r="1010" ht="12.75" x14ac:dyDescent="0.2"/>
    <row r="1011" ht="12.75" x14ac:dyDescent="0.2"/>
    <row r="1012" ht="12.75" x14ac:dyDescent="0.2"/>
    <row r="1013" ht="12.75" x14ac:dyDescent="0.2"/>
    <row r="1014" ht="12.75" x14ac:dyDescent="0.2"/>
    <row r="1015" ht="12.75" x14ac:dyDescent="0.2"/>
    <row r="1016" ht="12.75" x14ac:dyDescent="0.2"/>
    <row r="1017" ht="12.75" x14ac:dyDescent="0.2"/>
    <row r="1018" ht="12.75" x14ac:dyDescent="0.2"/>
    <row r="1019" ht="12.75" x14ac:dyDescent="0.2"/>
    <row r="1020" ht="12.75" x14ac:dyDescent="0.2"/>
    <row r="1021" ht="12.75" x14ac:dyDescent="0.2"/>
    <row r="1022" ht="12.75" x14ac:dyDescent="0.2"/>
    <row r="1023" ht="12.75" x14ac:dyDescent="0.2"/>
    <row r="1024" ht="12.75" x14ac:dyDescent="0.2"/>
    <row r="1025" ht="12.75" x14ac:dyDescent="0.2"/>
    <row r="1026" ht="12.75" x14ac:dyDescent="0.2"/>
    <row r="1027" ht="12.75" x14ac:dyDescent="0.2"/>
    <row r="1028" ht="12.75" x14ac:dyDescent="0.2"/>
    <row r="1029" ht="12.75" x14ac:dyDescent="0.2"/>
    <row r="1030" ht="12.75" x14ac:dyDescent="0.2"/>
    <row r="1031" ht="12.75" x14ac:dyDescent="0.2"/>
    <row r="1032" ht="12.75" x14ac:dyDescent="0.2"/>
    <row r="1033" ht="12.75" x14ac:dyDescent="0.2"/>
    <row r="1034" ht="12.75" x14ac:dyDescent="0.2"/>
    <row r="1035" ht="12.75" x14ac:dyDescent="0.2"/>
    <row r="1036" ht="12.75" x14ac:dyDescent="0.2"/>
    <row r="1037" ht="12.75" x14ac:dyDescent="0.2"/>
    <row r="1038" ht="12.75" x14ac:dyDescent="0.2"/>
    <row r="1039" ht="12.75" x14ac:dyDescent="0.2"/>
    <row r="1040" ht="12.75" x14ac:dyDescent="0.2"/>
    <row r="1041" ht="12.75" x14ac:dyDescent="0.2"/>
    <row r="1042" ht="12.75" x14ac:dyDescent="0.2"/>
    <row r="1043" ht="12.75" x14ac:dyDescent="0.2"/>
    <row r="1044" ht="12.75" x14ac:dyDescent="0.2"/>
    <row r="1045" ht="12.75" x14ac:dyDescent="0.2"/>
    <row r="1046" ht="12.75" x14ac:dyDescent="0.2"/>
    <row r="1047" ht="12.75" x14ac:dyDescent="0.2"/>
    <row r="1048" ht="12.75" x14ac:dyDescent="0.2"/>
    <row r="1049" ht="12.75" x14ac:dyDescent="0.2"/>
    <row r="1050" ht="12.75" x14ac:dyDescent="0.2"/>
    <row r="1051" ht="12.75" x14ac:dyDescent="0.2"/>
    <row r="1052" ht="12.75" x14ac:dyDescent="0.2"/>
    <row r="1053" ht="12.75" x14ac:dyDescent="0.2"/>
    <row r="1054" ht="12.75" x14ac:dyDescent="0.2"/>
    <row r="1055" ht="12.75" x14ac:dyDescent="0.2"/>
    <row r="1056" ht="12.75" x14ac:dyDescent="0.2"/>
    <row r="1057" ht="12.75" x14ac:dyDescent="0.2"/>
    <row r="1058" ht="12.75" x14ac:dyDescent="0.2"/>
    <row r="1059" ht="12.75" x14ac:dyDescent="0.2"/>
    <row r="1060" ht="12.75" x14ac:dyDescent="0.2"/>
    <row r="1061" ht="12.75" x14ac:dyDescent="0.2"/>
    <row r="1062" ht="12.75" x14ac:dyDescent="0.2"/>
    <row r="1063" ht="12.75" x14ac:dyDescent="0.2"/>
    <row r="1064" ht="12.75" x14ac:dyDescent="0.2"/>
    <row r="1065" ht="12.75" x14ac:dyDescent="0.2"/>
    <row r="1066" ht="12.75" x14ac:dyDescent="0.2"/>
    <row r="1067" ht="12.75" x14ac:dyDescent="0.2"/>
    <row r="1068" ht="12.75" x14ac:dyDescent="0.2"/>
    <row r="1069" ht="12.75" x14ac:dyDescent="0.2"/>
    <row r="1070" ht="12.75" x14ac:dyDescent="0.2"/>
    <row r="1071" ht="12.75" x14ac:dyDescent="0.2"/>
    <row r="1072" ht="12.75" x14ac:dyDescent="0.2"/>
    <row r="1073" ht="12.75" x14ac:dyDescent="0.2"/>
    <row r="1074" ht="12.75" x14ac:dyDescent="0.2"/>
    <row r="1075" ht="12.75" x14ac:dyDescent="0.2"/>
    <row r="1076" ht="12.75" x14ac:dyDescent="0.2"/>
    <row r="1077" ht="12.75" x14ac:dyDescent="0.2"/>
    <row r="1078" ht="12.75" x14ac:dyDescent="0.2"/>
    <row r="1079" ht="12.75" x14ac:dyDescent="0.2"/>
    <row r="1080" ht="12.75" x14ac:dyDescent="0.2"/>
    <row r="1081" ht="12.75" x14ac:dyDescent="0.2"/>
    <row r="1082" ht="12.75" x14ac:dyDescent="0.2"/>
    <row r="1083" ht="12.75" x14ac:dyDescent="0.2"/>
    <row r="1084" ht="12.75" x14ac:dyDescent="0.2"/>
    <row r="1085" ht="12.75" x14ac:dyDescent="0.2"/>
    <row r="1086" ht="12.75" x14ac:dyDescent="0.2"/>
    <row r="1087" ht="12.75" x14ac:dyDescent="0.2"/>
    <row r="1088" ht="12.75" x14ac:dyDescent="0.2"/>
    <row r="1089" ht="12.75" x14ac:dyDescent="0.2"/>
    <row r="1090" ht="12.75" x14ac:dyDescent="0.2"/>
    <row r="1091" ht="12.75" x14ac:dyDescent="0.2"/>
    <row r="1092" ht="12.75" x14ac:dyDescent="0.2"/>
    <row r="1093" ht="12.75" x14ac:dyDescent="0.2"/>
    <row r="1094" ht="12.75" x14ac:dyDescent="0.2"/>
    <row r="1095" ht="12.75" x14ac:dyDescent="0.2"/>
    <row r="1096" ht="12.75" x14ac:dyDescent="0.2"/>
    <row r="1097" ht="12.75" x14ac:dyDescent="0.2"/>
    <row r="1098" ht="12.75" x14ac:dyDescent="0.2"/>
    <row r="1099" ht="12.75" x14ac:dyDescent="0.2"/>
    <row r="1100" ht="12.75" x14ac:dyDescent="0.2"/>
    <row r="1101" ht="12.75" x14ac:dyDescent="0.2"/>
    <row r="1102" ht="12.75" x14ac:dyDescent="0.2"/>
    <row r="1103" ht="12.75" x14ac:dyDescent="0.2"/>
    <row r="1104" ht="12.75" x14ac:dyDescent="0.2"/>
    <row r="1105" ht="12.75" x14ac:dyDescent="0.2"/>
    <row r="1106" ht="12.75" x14ac:dyDescent="0.2"/>
    <row r="1107" ht="12.75" x14ac:dyDescent="0.2"/>
    <row r="1108" ht="12.75" x14ac:dyDescent="0.2"/>
    <row r="1109" ht="12.75" x14ac:dyDescent="0.2"/>
    <row r="1110" ht="12.75" x14ac:dyDescent="0.2"/>
    <row r="1111" ht="12.75" x14ac:dyDescent="0.2"/>
    <row r="1112" ht="12.75" x14ac:dyDescent="0.2"/>
    <row r="1113" ht="12.75" x14ac:dyDescent="0.2"/>
    <row r="1114" ht="12.75" x14ac:dyDescent="0.2"/>
    <row r="1115" ht="12.75" x14ac:dyDescent="0.2"/>
    <row r="1116" ht="12.75" x14ac:dyDescent="0.2"/>
    <row r="1117" ht="12.75" x14ac:dyDescent="0.2"/>
    <row r="1118" ht="12.75" x14ac:dyDescent="0.2"/>
    <row r="1119" ht="12.75" x14ac:dyDescent="0.2"/>
    <row r="1120" ht="12.75" x14ac:dyDescent="0.2"/>
    <row r="1121" ht="12.75" x14ac:dyDescent="0.2"/>
    <row r="1122" ht="12.75" x14ac:dyDescent="0.2"/>
    <row r="1123" ht="12.75" x14ac:dyDescent="0.2"/>
    <row r="1124" ht="12.75" x14ac:dyDescent="0.2"/>
    <row r="1125" ht="12.75" x14ac:dyDescent="0.2"/>
    <row r="1126" ht="12.75" x14ac:dyDescent="0.2"/>
    <row r="1127" ht="12.75" x14ac:dyDescent="0.2"/>
    <row r="1128" ht="12.75" x14ac:dyDescent="0.2"/>
    <row r="1129" ht="12.75" x14ac:dyDescent="0.2"/>
    <row r="1130" ht="12.75" x14ac:dyDescent="0.2"/>
    <row r="1131" ht="12.75" x14ac:dyDescent="0.2"/>
    <row r="1132" ht="12.75" x14ac:dyDescent="0.2"/>
    <row r="1133" ht="12.75" x14ac:dyDescent="0.2"/>
    <row r="1134" ht="12.75" x14ac:dyDescent="0.2"/>
    <row r="1135" ht="12.75" x14ac:dyDescent="0.2"/>
    <row r="1136" ht="12.75" x14ac:dyDescent="0.2"/>
    <row r="1137" ht="12.75" x14ac:dyDescent="0.2"/>
    <row r="1138" ht="12.75" x14ac:dyDescent="0.2"/>
    <row r="1139" ht="12.75" x14ac:dyDescent="0.2"/>
    <row r="1140" ht="12.75" x14ac:dyDescent="0.2"/>
    <row r="1141" ht="12.75" x14ac:dyDescent="0.2"/>
    <row r="1142" ht="12.75" x14ac:dyDescent="0.2"/>
    <row r="1143" ht="12.75" x14ac:dyDescent="0.2"/>
    <row r="1144" ht="12.75" x14ac:dyDescent="0.2"/>
    <row r="1145" ht="12.75" x14ac:dyDescent="0.2"/>
    <row r="1146" ht="12.75" x14ac:dyDescent="0.2"/>
    <row r="1147" ht="12.75" x14ac:dyDescent="0.2"/>
    <row r="1148" ht="12.75" x14ac:dyDescent="0.2"/>
    <row r="1149" ht="12.75" x14ac:dyDescent="0.2"/>
    <row r="1150" ht="12.75" x14ac:dyDescent="0.2"/>
    <row r="1151" ht="12.75" x14ac:dyDescent="0.2"/>
    <row r="1152" ht="12.75" x14ac:dyDescent="0.2"/>
    <row r="1153" ht="12.75" x14ac:dyDescent="0.2"/>
    <row r="1154" ht="12.75" x14ac:dyDescent="0.2"/>
    <row r="1155" ht="12.75" x14ac:dyDescent="0.2"/>
    <row r="1156" ht="12.75" x14ac:dyDescent="0.2"/>
    <row r="1157" ht="12.75" x14ac:dyDescent="0.2"/>
    <row r="1158" ht="12.75" x14ac:dyDescent="0.2"/>
    <row r="1159" ht="12.75" x14ac:dyDescent="0.2"/>
    <row r="1160" ht="12.75" x14ac:dyDescent="0.2"/>
    <row r="1161" ht="12.75" x14ac:dyDescent="0.2"/>
    <row r="1162" ht="12.75" x14ac:dyDescent="0.2"/>
    <row r="1163" ht="12.75" x14ac:dyDescent="0.2"/>
    <row r="1164" ht="12.75" x14ac:dyDescent="0.2"/>
    <row r="1165" ht="12.75" x14ac:dyDescent="0.2"/>
    <row r="1166" ht="12.75" x14ac:dyDescent="0.2"/>
    <row r="1167" ht="12.75" x14ac:dyDescent="0.2"/>
    <row r="1168" ht="12.75" x14ac:dyDescent="0.2"/>
    <row r="1169" ht="12.75" x14ac:dyDescent="0.2"/>
    <row r="1170" ht="12.75" x14ac:dyDescent="0.2"/>
    <row r="1171" ht="12.75" x14ac:dyDescent="0.2"/>
    <row r="1172" ht="12.75" x14ac:dyDescent="0.2"/>
    <row r="1173" ht="12.75" x14ac:dyDescent="0.2"/>
    <row r="1174" ht="12.75" x14ac:dyDescent="0.2"/>
    <row r="1175" ht="12.75" x14ac:dyDescent="0.2"/>
    <row r="1176" ht="12.75" x14ac:dyDescent="0.2"/>
    <row r="1177" ht="12.75" x14ac:dyDescent="0.2"/>
    <row r="1178" ht="12.75" x14ac:dyDescent="0.2"/>
    <row r="1179" ht="12.75" x14ac:dyDescent="0.2"/>
    <row r="1180" ht="12.75" x14ac:dyDescent="0.2"/>
    <row r="1181" ht="12.75" x14ac:dyDescent="0.2"/>
    <row r="1182" ht="12.75" x14ac:dyDescent="0.2"/>
    <row r="1183" ht="12.75" x14ac:dyDescent="0.2"/>
    <row r="1184" ht="12.75" x14ac:dyDescent="0.2"/>
    <row r="1185" ht="12.75" x14ac:dyDescent="0.2"/>
    <row r="1186" ht="12.75" x14ac:dyDescent="0.2"/>
    <row r="1187" ht="12.75" x14ac:dyDescent="0.2"/>
    <row r="1188" ht="12.75" x14ac:dyDescent="0.2"/>
    <row r="1189" ht="12.75" x14ac:dyDescent="0.2"/>
    <row r="1190" ht="12.75" x14ac:dyDescent="0.2"/>
    <row r="1191" ht="12.75" x14ac:dyDescent="0.2"/>
    <row r="1192" ht="12.75" x14ac:dyDescent="0.2"/>
    <row r="1193" ht="12.75" x14ac:dyDescent="0.2"/>
    <row r="1194" ht="12.75" x14ac:dyDescent="0.2"/>
    <row r="1195" ht="12.75" x14ac:dyDescent="0.2"/>
    <row r="1196" ht="12.75" x14ac:dyDescent="0.2"/>
    <row r="1197" ht="12.75" x14ac:dyDescent="0.2"/>
    <row r="1198" ht="12.75" x14ac:dyDescent="0.2"/>
    <row r="1199" ht="12.75" x14ac:dyDescent="0.2"/>
    <row r="1200" ht="12.75" x14ac:dyDescent="0.2"/>
    <row r="1201" ht="12.75" x14ac:dyDescent="0.2"/>
    <row r="1202" ht="12.75" x14ac:dyDescent="0.2"/>
    <row r="1203" ht="12.75" x14ac:dyDescent="0.2"/>
    <row r="1204" ht="12.75" x14ac:dyDescent="0.2"/>
    <row r="1205" ht="12.75" x14ac:dyDescent="0.2"/>
    <row r="1206" ht="12.75" x14ac:dyDescent="0.2"/>
    <row r="1207" ht="12.75" x14ac:dyDescent="0.2"/>
    <row r="1208" ht="12.75" x14ac:dyDescent="0.2"/>
    <row r="1209" ht="12.75" x14ac:dyDescent="0.2"/>
    <row r="1210" ht="12.75" x14ac:dyDescent="0.2"/>
    <row r="1211" ht="12.75" x14ac:dyDescent="0.2"/>
    <row r="1212" ht="12.75" x14ac:dyDescent="0.2"/>
    <row r="1213" ht="12.75" x14ac:dyDescent="0.2"/>
    <row r="1214" ht="12.75" x14ac:dyDescent="0.2"/>
    <row r="1215" ht="12.75" x14ac:dyDescent="0.2"/>
    <row r="1216" ht="12.75" x14ac:dyDescent="0.2"/>
    <row r="1217" ht="12.75" x14ac:dyDescent="0.2"/>
    <row r="1218" ht="12.75" x14ac:dyDescent="0.2"/>
  </sheetData>
  <mergeCells count="8">
    <mergeCell ref="G857:H857"/>
    <mergeCell ref="G1:I1"/>
    <mergeCell ref="G3:I3"/>
    <mergeCell ref="G2:I2"/>
    <mergeCell ref="G856:H856"/>
    <mergeCell ref="A5:I5"/>
    <mergeCell ref="H4:I4"/>
    <mergeCell ref="B857:E857"/>
  </mergeCells>
  <phoneticPr fontId="16" type="noConversion"/>
  <printOptions horizontalCentered="1"/>
  <pageMargins left="0.39370078740157483" right="0.39370078740157483" top="0.78740157480314965" bottom="1.1811023622047245" header="0" footer="0"/>
  <pageSetup paperSize="9" scale="61" orientation="landscape" r:id="rId1"/>
  <headerFooter differentFirst="1" alignWithMargins="0">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7</vt:lpstr>
      <vt:lpstr>'7'!Заголовки_для_печати</vt:lpstr>
      <vt:lpstr>'7'!Область_печати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user</cp:lastModifiedBy>
  <cp:lastPrinted>2018-10-19T10:33:09Z</cp:lastPrinted>
  <dcterms:created xsi:type="dcterms:W3CDTF">2014-01-17T10:52:16Z</dcterms:created>
  <dcterms:modified xsi:type="dcterms:W3CDTF">2018-10-24T12:26:53Z</dcterms:modified>
</cp:coreProperties>
</file>