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activeTab="1"/>
  </bookViews>
  <sheets>
    <sheet name="Дод 4  " sheetId="7" r:id="rId1"/>
    <sheet name="ОР" sheetId="8" r:id="rId2"/>
  </sheets>
  <definedNames>
    <definedName name="_xlnm.Print_Titles" localSheetId="0">'Дод 4  '!$A:$B,'Дод 4  '!$6:$12</definedName>
    <definedName name="_xlnm.Print_Titles" localSheetId="1">ОР!$A:$B,ОР!$6:$12</definedName>
    <definedName name="_xlnm.Print_Area" localSheetId="0">'Дод 4  '!$A$1:$CW$115</definedName>
    <definedName name="_xlnm.Print_Area" localSheetId="1">ОР!$A$1:$U$115</definedName>
  </definedNames>
  <calcPr calcId="145621" fullCalcOnLoad="1"/>
</workbook>
</file>

<file path=xl/calcChain.xml><?xml version="1.0" encoding="utf-8"?>
<calcChain xmlns="http://schemas.openxmlformats.org/spreadsheetml/2006/main">
  <c r="D106" i="7" l="1"/>
  <c r="D97" i="7"/>
  <c r="D91" i="7"/>
  <c r="D90" i="7"/>
  <c r="D87" i="7"/>
  <c r="D81" i="7"/>
  <c r="D64" i="7"/>
  <c r="D54" i="7"/>
  <c r="BY54" i="7"/>
  <c r="D108" i="7"/>
  <c r="D113" i="7"/>
  <c r="D49" i="7"/>
  <c r="D26" i="7"/>
  <c r="BF87" i="7"/>
  <c r="AD81" i="7"/>
  <c r="AC106" i="7"/>
  <c r="AC87" i="7"/>
  <c r="AC85" i="7"/>
  <c r="AC63" i="7"/>
  <c r="AC55" i="7"/>
  <c r="AC45" i="7"/>
  <c r="AC44" i="7"/>
  <c r="BY15" i="7"/>
  <c r="BY21" i="7"/>
  <c r="BY27" i="7"/>
  <c r="BY31" i="7"/>
  <c r="BY32" i="7"/>
  <c r="BY33" i="7"/>
  <c r="BY34" i="7"/>
  <c r="BY37" i="7"/>
  <c r="BY38" i="7"/>
  <c r="BY42" i="7"/>
  <c r="BY44" i="7"/>
  <c r="BY46" i="7"/>
  <c r="BY47" i="7"/>
  <c r="BY48" i="7"/>
  <c r="BY50" i="7"/>
  <c r="BY51" i="7"/>
  <c r="BY52" i="7"/>
  <c r="BY53" i="7"/>
  <c r="BY57" i="7"/>
  <c r="BY58" i="7"/>
  <c r="BY59" i="7"/>
  <c r="BY60" i="7"/>
  <c r="BY64" i="7"/>
  <c r="BY65" i="7"/>
  <c r="BY70" i="7"/>
  <c r="BY72" i="7"/>
  <c r="BY73" i="7"/>
  <c r="BY74" i="7"/>
  <c r="BY75" i="7"/>
  <c r="BY78" i="7"/>
  <c r="BY79" i="7"/>
  <c r="BY80" i="7"/>
  <c r="BY82" i="7"/>
  <c r="BY83" i="7"/>
  <c r="BY84" i="7"/>
  <c r="BY86" i="7"/>
  <c r="BY89" i="7"/>
  <c r="BY91" i="7"/>
  <c r="BY92" i="7"/>
  <c r="BY94" i="7"/>
  <c r="BY95" i="7"/>
  <c r="BY96" i="7"/>
  <c r="BY97" i="7"/>
  <c r="BY98" i="7"/>
  <c r="BY100" i="7"/>
  <c r="BY101" i="7"/>
  <c r="BY102" i="7"/>
  <c r="BY103" i="7"/>
  <c r="BY104" i="7"/>
  <c r="BY107" i="7"/>
  <c r="BY109" i="7"/>
  <c r="BY110" i="7"/>
  <c r="BY112" i="7"/>
  <c r="AA111" i="7"/>
  <c r="AC108" i="7"/>
  <c r="AD108" i="7"/>
  <c r="AC49" i="7"/>
  <c r="AD49" i="7"/>
  <c r="AC26" i="7"/>
  <c r="AD26" i="7"/>
  <c r="AB14" i="7"/>
  <c r="BY14" i="7"/>
  <c r="AB15" i="7"/>
  <c r="AB16" i="7"/>
  <c r="BY16" i="7"/>
  <c r="AB17" i="7"/>
  <c r="BY17" i="7"/>
  <c r="AB18" i="7"/>
  <c r="BY18" i="7"/>
  <c r="AB19" i="7"/>
  <c r="BY19" i="7"/>
  <c r="AB20" i="7"/>
  <c r="BY20" i="7"/>
  <c r="AB21" i="7"/>
  <c r="AB22" i="7"/>
  <c r="BY22" i="7"/>
  <c r="AB23" i="7"/>
  <c r="BY23" i="7"/>
  <c r="AB24" i="7"/>
  <c r="BY24" i="7"/>
  <c r="AB25" i="7"/>
  <c r="BY25" i="7"/>
  <c r="AB27" i="7"/>
  <c r="AB28" i="7"/>
  <c r="BY28" i="7"/>
  <c r="AB29" i="7"/>
  <c r="BY29" i="7"/>
  <c r="AB30" i="7"/>
  <c r="BY30" i="7"/>
  <c r="AB31" i="7"/>
  <c r="AB32" i="7"/>
  <c r="AB33" i="7"/>
  <c r="AB34" i="7"/>
  <c r="AB35" i="7"/>
  <c r="BY35" i="7"/>
  <c r="AB36" i="7"/>
  <c r="BY36" i="7"/>
  <c r="AB37" i="7"/>
  <c r="AB38" i="7"/>
  <c r="AB39" i="7"/>
  <c r="BY39" i="7"/>
  <c r="AB40" i="7"/>
  <c r="BY40" i="7"/>
  <c r="AB41" i="7"/>
  <c r="BY41" i="7"/>
  <c r="AB42" i="7"/>
  <c r="AB43" i="7"/>
  <c r="BY43" i="7"/>
  <c r="AB44" i="7"/>
  <c r="AB45" i="7"/>
  <c r="BY45" i="7"/>
  <c r="AB46" i="7"/>
  <c r="AB47" i="7"/>
  <c r="AB48" i="7"/>
  <c r="AB50" i="7"/>
  <c r="AB51" i="7"/>
  <c r="AB52" i="7"/>
  <c r="AB53" i="7"/>
  <c r="AB54" i="7"/>
  <c r="AB55" i="7"/>
  <c r="BY55" i="7"/>
  <c r="AB56" i="7"/>
  <c r="AB57" i="7"/>
  <c r="AB58" i="7"/>
  <c r="AB59" i="7"/>
  <c r="AB60" i="7"/>
  <c r="AB61" i="7"/>
  <c r="BY61" i="7"/>
  <c r="AB62" i="7"/>
  <c r="BY62" i="7"/>
  <c r="AB63" i="7"/>
  <c r="BY63" i="7"/>
  <c r="AB64" i="7"/>
  <c r="AB65" i="7"/>
  <c r="AB66" i="7"/>
  <c r="BY66" i="7"/>
  <c r="AB67" i="7"/>
  <c r="BY67" i="7"/>
  <c r="AB68" i="7"/>
  <c r="BY68" i="7"/>
  <c r="AB69" i="7"/>
  <c r="BY69" i="7"/>
  <c r="AB70" i="7"/>
  <c r="AB71" i="7"/>
  <c r="BY71" i="7"/>
  <c r="AB72" i="7"/>
  <c r="AB73" i="7"/>
  <c r="AB74" i="7"/>
  <c r="AB75" i="7"/>
  <c r="AB76" i="7"/>
  <c r="BY76" i="7"/>
  <c r="AB77" i="7"/>
  <c r="BY77" i="7"/>
  <c r="AB78" i="7"/>
  <c r="AB79" i="7"/>
  <c r="AB80" i="7"/>
  <c r="AB81" i="7"/>
  <c r="BY81" i="7"/>
  <c r="AB82" i="7"/>
  <c r="AB83" i="7"/>
  <c r="AB84" i="7"/>
  <c r="AB85" i="7"/>
  <c r="BY85" i="7"/>
  <c r="AB86" i="7"/>
  <c r="AB87" i="7"/>
  <c r="BY87" i="7"/>
  <c r="AB88" i="7"/>
  <c r="BY88" i="7"/>
  <c r="AB89" i="7"/>
  <c r="AB90" i="7"/>
  <c r="BY90" i="7"/>
  <c r="AB91" i="7"/>
  <c r="AB92" i="7"/>
  <c r="AB93" i="7"/>
  <c r="BY93" i="7"/>
  <c r="AB94" i="7"/>
  <c r="AB95" i="7"/>
  <c r="AB96" i="7"/>
  <c r="AB97" i="7"/>
  <c r="AB98" i="7"/>
  <c r="AB99" i="7"/>
  <c r="BY99" i="7"/>
  <c r="AB100" i="7"/>
  <c r="AB101" i="7"/>
  <c r="AB102" i="7"/>
  <c r="AB103" i="7"/>
  <c r="AB104" i="7"/>
  <c r="AB105" i="7"/>
  <c r="BY105" i="7"/>
  <c r="AB106" i="7"/>
  <c r="BY106" i="7"/>
  <c r="AB107" i="7"/>
  <c r="AB109" i="7"/>
  <c r="AB110" i="7"/>
  <c r="AB111" i="7"/>
  <c r="BY111" i="7"/>
  <c r="AB112" i="7"/>
  <c r="AB13" i="7"/>
  <c r="AE113" i="7"/>
  <c r="AN99" i="7"/>
  <c r="AN97" i="7"/>
  <c r="AN96" i="7"/>
  <c r="AN93" i="7"/>
  <c r="AM93" i="7"/>
  <c r="AN91" i="7"/>
  <c r="AN90" i="7"/>
  <c r="AN88" i="7"/>
  <c r="AM88" i="7"/>
  <c r="AN87" i="7"/>
  <c r="AM87" i="7"/>
  <c r="AN85" i="7"/>
  <c r="AN84" i="7"/>
  <c r="AN77" i="7"/>
  <c r="AN73" i="7"/>
  <c r="AM73" i="7"/>
  <c r="AN71" i="7"/>
  <c r="AN67" i="7"/>
  <c r="AN63" i="7"/>
  <c r="AN56" i="7"/>
  <c r="AN53" i="7"/>
  <c r="AN52" i="7"/>
  <c r="AN51" i="7"/>
  <c r="AN41" i="7"/>
  <c r="AN40" i="7"/>
  <c r="AN39" i="7"/>
  <c r="AN36" i="7"/>
  <c r="AN35" i="7"/>
  <c r="AM35" i="7"/>
  <c r="AN32" i="7"/>
  <c r="AN30" i="7"/>
  <c r="AN28" i="7"/>
  <c r="AN25" i="7"/>
  <c r="AM25" i="7"/>
  <c r="AN24" i="7"/>
  <c r="AN23" i="7"/>
  <c r="AN22" i="7"/>
  <c r="AM22" i="7"/>
  <c r="AN21" i="7"/>
  <c r="AM21" i="7"/>
  <c r="AN20" i="7"/>
  <c r="AN19" i="7"/>
  <c r="AN18" i="7"/>
  <c r="AN17" i="7"/>
  <c r="AN16" i="7"/>
  <c r="AN15" i="7"/>
  <c r="AN14" i="7"/>
  <c r="U68" i="7"/>
  <c r="U52" i="7"/>
  <c r="U16" i="7"/>
  <c r="U15" i="7"/>
  <c r="G48" i="7"/>
  <c r="G47" i="7"/>
  <c r="G46" i="7"/>
  <c r="G45" i="7"/>
  <c r="G44" i="7"/>
  <c r="G43" i="7"/>
  <c r="G42" i="7"/>
  <c r="G41" i="7"/>
  <c r="G40" i="7"/>
  <c r="G39" i="7"/>
  <c r="G38" i="7"/>
  <c r="G37" i="7"/>
  <c r="G36" i="7"/>
  <c r="G35" i="7"/>
  <c r="G34" i="7"/>
  <c r="G33" i="7"/>
  <c r="G32" i="7"/>
  <c r="G31" i="7"/>
  <c r="G30" i="7"/>
  <c r="G29" i="7"/>
  <c r="G28" i="7"/>
  <c r="G27" i="7"/>
  <c r="G25" i="7"/>
  <c r="G24" i="7"/>
  <c r="G23" i="7"/>
  <c r="G22" i="7"/>
  <c r="G21" i="7"/>
  <c r="G20" i="7"/>
  <c r="G19" i="7"/>
  <c r="G18" i="7"/>
  <c r="G17" i="7"/>
  <c r="G16" i="7"/>
  <c r="G26" i="7"/>
  <c r="G113" i="7"/>
  <c r="G15" i="7"/>
  <c r="G14" i="7"/>
  <c r="G13" i="7"/>
  <c r="CD75" i="7"/>
  <c r="CD108" i="7"/>
  <c r="H48" i="7"/>
  <c r="H47" i="7"/>
  <c r="H46" i="7"/>
  <c r="H45" i="7"/>
  <c r="H49" i="7"/>
  <c r="H113" i="7"/>
  <c r="H44" i="7"/>
  <c r="H43" i="7"/>
  <c r="H42" i="7"/>
  <c r="H41" i="7"/>
  <c r="H40" i="7"/>
  <c r="H39" i="7"/>
  <c r="H38" i="7"/>
  <c r="H37" i="7"/>
  <c r="H36" i="7"/>
  <c r="H35" i="7"/>
  <c r="H34" i="7"/>
  <c r="H33" i="7"/>
  <c r="H32" i="7"/>
  <c r="H31" i="7"/>
  <c r="H30" i="7"/>
  <c r="H29" i="7"/>
  <c r="H28" i="7"/>
  <c r="H27" i="7"/>
  <c r="H25" i="7"/>
  <c r="H24" i="7"/>
  <c r="H22" i="7"/>
  <c r="H21" i="7"/>
  <c r="H20" i="7"/>
  <c r="H19" i="7"/>
  <c r="H18" i="7"/>
  <c r="H17" i="7"/>
  <c r="H16" i="7"/>
  <c r="H15" i="7"/>
  <c r="H14" i="7"/>
  <c r="H13" i="7"/>
  <c r="F48" i="7"/>
  <c r="F47" i="7"/>
  <c r="F49" i="7"/>
  <c r="F46" i="7"/>
  <c r="F45" i="7"/>
  <c r="F44" i="7"/>
  <c r="F43" i="7"/>
  <c r="F42" i="7"/>
  <c r="F41" i="7"/>
  <c r="F40" i="7"/>
  <c r="F39" i="7"/>
  <c r="F38" i="7"/>
  <c r="F37" i="7"/>
  <c r="F36" i="7"/>
  <c r="F35" i="7"/>
  <c r="F34" i="7"/>
  <c r="F33" i="7"/>
  <c r="F32" i="7"/>
  <c r="F31" i="7"/>
  <c r="F30" i="7"/>
  <c r="F29" i="7"/>
  <c r="F28" i="7"/>
  <c r="F27" i="7"/>
  <c r="F25" i="7"/>
  <c r="F24" i="7"/>
  <c r="F23" i="7"/>
  <c r="F22" i="7"/>
  <c r="F21" i="7"/>
  <c r="F20" i="7"/>
  <c r="F19" i="7"/>
  <c r="F18" i="7"/>
  <c r="F17" i="7"/>
  <c r="F16" i="7"/>
  <c r="F15" i="7"/>
  <c r="F14" i="7"/>
  <c r="F26" i="7"/>
  <c r="F113" i="7"/>
  <c r="F13" i="7"/>
  <c r="CD70" i="7"/>
  <c r="V108" i="8"/>
  <c r="V49" i="8"/>
  <c r="V26" i="8"/>
  <c r="V113" i="8"/>
  <c r="AP111" i="7"/>
  <c r="I48" i="7"/>
  <c r="I47" i="7"/>
  <c r="I46" i="7"/>
  <c r="I45" i="7"/>
  <c r="I44" i="7"/>
  <c r="I43" i="7"/>
  <c r="I42" i="7"/>
  <c r="I41" i="7"/>
  <c r="I40" i="7"/>
  <c r="I39" i="7"/>
  <c r="I38" i="7"/>
  <c r="I37" i="7"/>
  <c r="I36" i="7"/>
  <c r="I35" i="7"/>
  <c r="I34" i="7"/>
  <c r="I33" i="7"/>
  <c r="I32" i="7"/>
  <c r="I31" i="7"/>
  <c r="I30" i="7"/>
  <c r="I29" i="7"/>
  <c r="I49" i="7"/>
  <c r="I28" i="7"/>
  <c r="I27" i="7"/>
  <c r="I25" i="7"/>
  <c r="I24" i="7"/>
  <c r="I23" i="7"/>
  <c r="I22" i="7"/>
  <c r="I21" i="7"/>
  <c r="I20" i="7"/>
  <c r="I19" i="7"/>
  <c r="I18" i="7"/>
  <c r="I17" i="7"/>
  <c r="I16" i="7"/>
  <c r="I15" i="7"/>
  <c r="I14" i="7"/>
  <c r="I13" i="7"/>
  <c r="CU25" i="7"/>
  <c r="W39" i="7"/>
  <c r="X14" i="7"/>
  <c r="V45" i="7"/>
  <c r="V34" i="7"/>
  <c r="V32" i="7"/>
  <c r="V27" i="7"/>
  <c r="V22" i="7"/>
  <c r="V15" i="7"/>
  <c r="V14" i="7"/>
  <c r="CD52" i="7"/>
  <c r="BF77" i="7"/>
  <c r="BF27" i="7"/>
  <c r="BW30" i="7"/>
  <c r="CD80" i="7"/>
  <c r="CD53" i="7"/>
  <c r="CP108" i="7"/>
  <c r="CP49" i="7"/>
  <c r="CP26" i="7"/>
  <c r="CO108" i="7"/>
  <c r="CO49" i="7"/>
  <c r="CO26" i="7"/>
  <c r="BF102" i="7"/>
  <c r="BF91" i="7"/>
  <c r="BF32" i="7"/>
  <c r="BF28" i="7"/>
  <c r="BU36" i="7"/>
  <c r="BU20" i="7"/>
  <c r="BN14" i="7"/>
  <c r="BN26" i="7"/>
  <c r="BN113" i="7"/>
  <c r="U102" i="7"/>
  <c r="U76" i="7"/>
  <c r="U87" i="7"/>
  <c r="U77" i="7"/>
  <c r="U67" i="7"/>
  <c r="U63" i="7"/>
  <c r="U61" i="7"/>
  <c r="U56" i="7"/>
  <c r="U53" i="7"/>
  <c r="U51" i="7"/>
  <c r="U47" i="7"/>
  <c r="U44" i="7"/>
  <c r="U41" i="7"/>
  <c r="U40" i="7"/>
  <c r="U39" i="7"/>
  <c r="U38" i="7"/>
  <c r="U36" i="7"/>
  <c r="U35" i="7"/>
  <c r="U33" i="7"/>
  <c r="U31" i="7"/>
  <c r="U30" i="7"/>
  <c r="U29" i="7"/>
  <c r="U28" i="7"/>
  <c r="U25" i="7"/>
  <c r="U24" i="7"/>
  <c r="U23" i="7"/>
  <c r="U22" i="7"/>
  <c r="U21" i="7"/>
  <c r="U20" i="7"/>
  <c r="U19" i="7"/>
  <c r="U18" i="7"/>
  <c r="U17" i="7"/>
  <c r="U14" i="7"/>
  <c r="U13" i="7"/>
  <c r="S102" i="7"/>
  <c r="S77" i="7"/>
  <c r="S76" i="7"/>
  <c r="S75" i="7"/>
  <c r="S93" i="7"/>
  <c r="S87" i="7"/>
  <c r="S69" i="7"/>
  <c r="S51" i="7"/>
  <c r="S47" i="7"/>
  <c r="S43" i="7"/>
  <c r="S42" i="7"/>
  <c r="S41" i="7"/>
  <c r="S40" i="7"/>
  <c r="S39" i="7"/>
  <c r="S37" i="7"/>
  <c r="S36" i="7"/>
  <c r="S35" i="7"/>
  <c r="S33" i="7"/>
  <c r="S32" i="7"/>
  <c r="S31" i="7"/>
  <c r="S30" i="7"/>
  <c r="S29" i="7"/>
  <c r="S49" i="7"/>
  <c r="S25" i="7"/>
  <c r="S23" i="7"/>
  <c r="S22" i="7"/>
  <c r="S21" i="7"/>
  <c r="S20" i="7"/>
  <c r="S19" i="7"/>
  <c r="S18" i="7"/>
  <c r="S17" i="7"/>
  <c r="S16" i="7"/>
  <c r="S15" i="7"/>
  <c r="S14" i="7"/>
  <c r="S13" i="7"/>
  <c r="CA13" i="7"/>
  <c r="BJ33" i="7"/>
  <c r="J102" i="7"/>
  <c r="J77" i="7"/>
  <c r="J76" i="7"/>
  <c r="J73" i="7"/>
  <c r="J75" i="7"/>
  <c r="J93" i="7"/>
  <c r="J87" i="7"/>
  <c r="J69" i="7"/>
  <c r="J68" i="7"/>
  <c r="J63" i="7"/>
  <c r="J108" i="7"/>
  <c r="J57" i="7"/>
  <c r="J52" i="7"/>
  <c r="J51" i="7"/>
  <c r="J47" i="7"/>
  <c r="J44" i="7"/>
  <c r="J43" i="7"/>
  <c r="J42" i="7"/>
  <c r="J41" i="7"/>
  <c r="J40" i="7"/>
  <c r="J39" i="7"/>
  <c r="J38" i="7"/>
  <c r="J36" i="7"/>
  <c r="J35" i="7"/>
  <c r="J33" i="7"/>
  <c r="J32" i="7"/>
  <c r="J31" i="7"/>
  <c r="J30" i="7"/>
  <c r="J29" i="7"/>
  <c r="J28" i="7"/>
  <c r="J25" i="7"/>
  <c r="J24" i="7"/>
  <c r="J23" i="7"/>
  <c r="J22" i="7"/>
  <c r="J21" i="7"/>
  <c r="J20" i="7"/>
  <c r="J19" i="7"/>
  <c r="J18" i="7"/>
  <c r="J17" i="7"/>
  <c r="J16" i="7"/>
  <c r="J15" i="7"/>
  <c r="J14" i="7"/>
  <c r="J13" i="7"/>
  <c r="J26" i="7"/>
  <c r="CD59" i="7"/>
  <c r="BC112" i="7"/>
  <c r="BA112" i="7"/>
  <c r="CQ108" i="7"/>
  <c r="CQ49" i="7"/>
  <c r="CQ22" i="7"/>
  <c r="CQ26" i="7"/>
  <c r="BR89" i="7"/>
  <c r="BR43" i="7"/>
  <c r="CR14" i="7"/>
  <c r="BF97" i="7"/>
  <c r="BF66" i="7"/>
  <c r="BF55" i="7"/>
  <c r="BF48" i="7"/>
  <c r="BF45" i="7"/>
  <c r="BF44" i="7"/>
  <c r="BF40" i="7"/>
  <c r="CW112" i="7"/>
  <c r="BE112" i="7"/>
  <c r="BD112" i="7"/>
  <c r="AZ112" i="7"/>
  <c r="AY112" i="7"/>
  <c r="AV112" i="7"/>
  <c r="AU112" i="7"/>
  <c r="AP112" i="7"/>
  <c r="AM112" i="7"/>
  <c r="AE112" i="7"/>
  <c r="M112" i="7"/>
  <c r="C112" i="7"/>
  <c r="CW111" i="7"/>
  <c r="BR111" i="7"/>
  <c r="BQ111" i="7"/>
  <c r="BH111" i="7"/>
  <c r="AN111" i="7"/>
  <c r="AM111" i="7"/>
  <c r="AE111" i="7"/>
  <c r="Y111" i="7"/>
  <c r="M111" i="7"/>
  <c r="E111" i="7"/>
  <c r="CW110" i="7"/>
  <c r="AP110" i="7"/>
  <c r="AM110" i="7"/>
  <c r="AE110" i="7"/>
  <c r="M110" i="7"/>
  <c r="CW109" i="7"/>
  <c r="AP109" i="7"/>
  <c r="AM109" i="7"/>
  <c r="AE109" i="7"/>
  <c r="M109" i="7"/>
  <c r="CX108" i="7"/>
  <c r="CV108" i="7"/>
  <c r="CU108" i="7"/>
  <c r="CT108" i="7"/>
  <c r="CS108" i="7"/>
  <c r="CR108" i="7"/>
  <c r="CN108" i="7"/>
  <c r="CM108" i="7"/>
  <c r="CL108" i="7"/>
  <c r="CK108" i="7"/>
  <c r="CJ108" i="7"/>
  <c r="CI108" i="7"/>
  <c r="CG108" i="7"/>
  <c r="CB108" i="7"/>
  <c r="CA108" i="7"/>
  <c r="BZ108" i="7"/>
  <c r="BW108" i="7"/>
  <c r="BV108" i="7"/>
  <c r="BU108" i="7"/>
  <c r="BT108" i="7"/>
  <c r="BS108" i="7"/>
  <c r="BP108" i="7"/>
  <c r="BO108" i="7"/>
  <c r="BN108" i="7"/>
  <c r="BM108" i="7"/>
  <c r="BM113" i="7"/>
  <c r="BL108" i="7"/>
  <c r="BK108" i="7"/>
  <c r="BJ108" i="7"/>
  <c r="BE108" i="7"/>
  <c r="BD108" i="7"/>
  <c r="BC108" i="7"/>
  <c r="BC113" i="7"/>
  <c r="BB108" i="7"/>
  <c r="BA108" i="7"/>
  <c r="AZ108" i="7"/>
  <c r="AY108" i="7"/>
  <c r="AX108" i="7"/>
  <c r="AX113" i="7"/>
  <c r="AW108" i="7"/>
  <c r="AW113" i="7"/>
  <c r="AV108" i="7"/>
  <c r="AU108" i="7"/>
  <c r="AT108" i="7"/>
  <c r="AS108" i="7"/>
  <c r="AR108" i="7"/>
  <c r="AQ108" i="7"/>
  <c r="AK108" i="7"/>
  <c r="AJ108" i="7"/>
  <c r="X108" i="7"/>
  <c r="W108" i="7"/>
  <c r="V108" i="7"/>
  <c r="R108" i="7"/>
  <c r="P108" i="7"/>
  <c r="O108" i="7"/>
  <c r="N108" i="7"/>
  <c r="L108" i="7"/>
  <c r="I108" i="7"/>
  <c r="H108" i="7"/>
  <c r="G108" i="7"/>
  <c r="F108" i="7"/>
  <c r="C108" i="7"/>
  <c r="CW107" i="7"/>
  <c r="CW106" i="7"/>
  <c r="BG106" i="7"/>
  <c r="BF106" i="7"/>
  <c r="AP106" i="7"/>
  <c r="AM106" i="7"/>
  <c r="AE106" i="7"/>
  <c r="M106" i="7"/>
  <c r="CH105" i="7"/>
  <c r="CD105" i="7"/>
  <c r="BQ105" i="7"/>
  <c r="AP105" i="7"/>
  <c r="AM105" i="7"/>
  <c r="AE105" i="7"/>
  <c r="M105" i="7"/>
  <c r="CW104" i="7"/>
  <c r="AP104" i="7"/>
  <c r="AM104" i="7"/>
  <c r="AE104" i="7"/>
  <c r="M104" i="7"/>
  <c r="CW103" i="7"/>
  <c r="BG103" i="7"/>
  <c r="AP103" i="7"/>
  <c r="AM103" i="7"/>
  <c r="AE103" i="7"/>
  <c r="M103" i="7"/>
  <c r="CW102" i="7"/>
  <c r="BR102" i="7"/>
  <c r="AP102" i="7"/>
  <c r="AM102" i="7"/>
  <c r="AE102" i="7"/>
  <c r="Z102" i="7"/>
  <c r="M102" i="7"/>
  <c r="CW101" i="7"/>
  <c r="BG101" i="7"/>
  <c r="BF101" i="7"/>
  <c r="AP101" i="7"/>
  <c r="AM101" i="7"/>
  <c r="AE101" i="7"/>
  <c r="AA101" i="7"/>
  <c r="Z101" i="7"/>
  <c r="M101" i="7"/>
  <c r="CW100" i="7"/>
  <c r="AP100" i="7"/>
  <c r="AM100" i="7"/>
  <c r="AG100" i="7"/>
  <c r="M100" i="7"/>
  <c r="CW99" i="7"/>
  <c r="BF99" i="7"/>
  <c r="AP99" i="7"/>
  <c r="AM99" i="7"/>
  <c r="AE99" i="7"/>
  <c r="M99" i="7"/>
  <c r="CH98" i="7"/>
  <c r="CW98" i="7"/>
  <c r="BG98" i="7"/>
  <c r="BF98" i="7"/>
  <c r="AP98" i="7"/>
  <c r="AM98" i="7"/>
  <c r="AE98" i="7"/>
  <c r="M98" i="7"/>
  <c r="CW97" i="7"/>
  <c r="AP97" i="7"/>
  <c r="AM97" i="7"/>
  <c r="AE97" i="7"/>
  <c r="U97" i="7"/>
  <c r="M97" i="7"/>
  <c r="CH96" i="7"/>
  <c r="CW96" i="7"/>
  <c r="BX96" i="7"/>
  <c r="BX108" i="7"/>
  <c r="BX113" i="7"/>
  <c r="BG96" i="7"/>
  <c r="AP96" i="7"/>
  <c r="AM96" i="7"/>
  <c r="AE96" i="7"/>
  <c r="M96" i="7"/>
  <c r="CH95" i="7"/>
  <c r="CW95" i="7"/>
  <c r="BR95" i="7"/>
  <c r="BG95" i="7"/>
  <c r="AP95" i="7"/>
  <c r="AM95" i="7"/>
  <c r="AE95" i="7"/>
  <c r="M95" i="7"/>
  <c r="CW94" i="7"/>
  <c r="CH94" i="7"/>
  <c r="BG94" i="7"/>
  <c r="AP94" i="7"/>
  <c r="AM94" i="7"/>
  <c r="AG94" i="7"/>
  <c r="AE94" i="7"/>
  <c r="Z94" i="7"/>
  <c r="M94" i="7"/>
  <c r="CH93" i="7"/>
  <c r="CW93" i="7"/>
  <c r="BH93" i="7"/>
  <c r="BG93" i="7"/>
  <c r="AP93" i="7"/>
  <c r="AO93" i="7"/>
  <c r="AE93" i="7"/>
  <c r="T93" i="7"/>
  <c r="M93" i="7"/>
  <c r="CC92" i="7"/>
  <c r="CC108" i="7"/>
  <c r="CW92" i="7"/>
  <c r="BR92" i="7"/>
  <c r="BQ92" i="7"/>
  <c r="BG92" i="7"/>
  <c r="AP92" i="7"/>
  <c r="AM92" i="7"/>
  <c r="AE92" i="7"/>
  <c r="M92" i="7"/>
  <c r="CW91" i="7"/>
  <c r="BG91" i="7"/>
  <c r="AP91" i="7"/>
  <c r="AM91" i="7"/>
  <c r="AE91" i="7"/>
  <c r="M91" i="7"/>
  <c r="CW90" i="7"/>
  <c r="BH90" i="7"/>
  <c r="BH108" i="7"/>
  <c r="AP90" i="7"/>
  <c r="AM90" i="7"/>
  <c r="AE90" i="7"/>
  <c r="M90" i="7"/>
  <c r="CH89" i="7"/>
  <c r="CW89" i="7"/>
  <c r="BG89" i="7"/>
  <c r="AP89" i="7"/>
  <c r="AM89" i="7"/>
  <c r="AE89" i="7"/>
  <c r="M89" i="7"/>
  <c r="CD88" i="7"/>
  <c r="CW88" i="7"/>
  <c r="BG88" i="7"/>
  <c r="AP88" i="7"/>
  <c r="AE88" i="7"/>
  <c r="M88" i="7"/>
  <c r="CW87" i="7"/>
  <c r="BR87" i="7"/>
  <c r="AP87" i="7"/>
  <c r="AF87" i="7"/>
  <c r="AA87" i="7"/>
  <c r="Z87" i="7"/>
  <c r="T87" i="7"/>
  <c r="M87" i="7"/>
  <c r="E87" i="7"/>
  <c r="CW86" i="7"/>
  <c r="AP86" i="7"/>
  <c r="AM86" i="7"/>
  <c r="AE86" i="7"/>
  <c r="M86" i="7"/>
  <c r="CH85" i="7"/>
  <c r="CW85" i="7"/>
  <c r="AP85" i="7"/>
  <c r="AM85" i="7"/>
  <c r="AG85" i="7"/>
  <c r="AE85" i="7"/>
  <c r="M85" i="7"/>
  <c r="CW84" i="7"/>
  <c r="BR84" i="7"/>
  <c r="AP84" i="7"/>
  <c r="AM84" i="7"/>
  <c r="AH84" i="7"/>
  <c r="AE84" i="7"/>
  <c r="AG84" i="7"/>
  <c r="M84" i="7"/>
  <c r="E84" i="7"/>
  <c r="CH83" i="7"/>
  <c r="CW83" i="7"/>
  <c r="AP83" i="7"/>
  <c r="AM83" i="7"/>
  <c r="AH83" i="7"/>
  <c r="M83" i="7"/>
  <c r="E83" i="7"/>
  <c r="CW82" i="7"/>
  <c r="AP82" i="7"/>
  <c r="AM82" i="7"/>
  <c r="AH82" i="7"/>
  <c r="AE82" i="7"/>
  <c r="M82" i="7"/>
  <c r="CW81" i="7"/>
  <c r="BF81" i="7"/>
  <c r="AP81" i="7"/>
  <c r="AM81" i="7"/>
  <c r="AH81" i="7"/>
  <c r="AE81" i="7"/>
  <c r="M81" i="7"/>
  <c r="E81" i="7"/>
  <c r="CH80" i="7"/>
  <c r="CW80" i="7"/>
  <c r="AP80" i="7"/>
  <c r="AM80" i="7"/>
  <c r="AH80" i="7"/>
  <c r="Q80" i="7"/>
  <c r="CW79" i="7"/>
  <c r="AP79" i="7"/>
  <c r="AM79" i="7"/>
  <c r="AH79" i="7"/>
  <c r="AE79" i="7"/>
  <c r="M79" i="7"/>
  <c r="E79" i="7"/>
  <c r="CW78" i="7"/>
  <c r="AP78" i="7"/>
  <c r="AM78" i="7"/>
  <c r="AH78" i="7"/>
  <c r="M78" i="7"/>
  <c r="E78" i="7"/>
  <c r="CW77" i="7"/>
  <c r="BR77" i="7"/>
  <c r="BR108" i="7"/>
  <c r="BQ77" i="7"/>
  <c r="BG77" i="7"/>
  <c r="AP77" i="7"/>
  <c r="AM77" i="7"/>
  <c r="AH77" i="7"/>
  <c r="Z77" i="7"/>
  <c r="Y77" i="7"/>
  <c r="T77" i="7"/>
  <c r="M77" i="7"/>
  <c r="E77" i="7"/>
  <c r="CW76" i="7"/>
  <c r="AP76" i="7"/>
  <c r="AM76" i="7"/>
  <c r="AH76" i="7"/>
  <c r="AG76" i="7"/>
  <c r="AE76" i="7"/>
  <c r="Z76" i="7"/>
  <c r="T76" i="7"/>
  <c r="M76" i="7"/>
  <c r="E76" i="7"/>
  <c r="CW75" i="7"/>
  <c r="BG75" i="7"/>
  <c r="AP75" i="7"/>
  <c r="AM75" i="7"/>
  <c r="AH75" i="7"/>
  <c r="AG75" i="7"/>
  <c r="Z75" i="7"/>
  <c r="T75" i="7"/>
  <c r="Q75" i="7"/>
  <c r="M75" i="7"/>
  <c r="E75" i="7"/>
  <c r="CW74" i="7"/>
  <c r="BG74" i="7"/>
  <c r="AP74" i="7"/>
  <c r="AM74" i="7"/>
  <c r="AH74" i="7"/>
  <c r="AE74" i="7"/>
  <c r="M74" i="7"/>
  <c r="E74" i="7"/>
  <c r="CW73" i="7"/>
  <c r="AP73" i="7"/>
  <c r="AH73" i="7"/>
  <c r="AE73" i="7"/>
  <c r="Y73" i="7"/>
  <c r="M73" i="7"/>
  <c r="E73" i="7"/>
  <c r="CW72" i="7"/>
  <c r="BF72" i="7"/>
  <c r="AP72" i="7"/>
  <c r="AM72" i="7"/>
  <c r="AH72" i="7"/>
  <c r="M72" i="7"/>
  <c r="E72" i="7"/>
  <c r="CH71" i="7"/>
  <c r="CW71" i="7"/>
  <c r="AP71" i="7"/>
  <c r="AM71" i="7"/>
  <c r="AH71" i="7"/>
  <c r="AE71" i="7"/>
  <c r="U71" i="7"/>
  <c r="M71" i="7"/>
  <c r="K71" i="7"/>
  <c r="K108" i="7"/>
  <c r="E71" i="7"/>
  <c r="CW70" i="7"/>
  <c r="BF70" i="7"/>
  <c r="AP70" i="7"/>
  <c r="AM70" i="7"/>
  <c r="AH70" i="7"/>
  <c r="AE70" i="7"/>
  <c r="M70" i="7"/>
  <c r="E70" i="7"/>
  <c r="CW69" i="7"/>
  <c r="AP69" i="7"/>
  <c r="AM69" i="7"/>
  <c r="AH69" i="7"/>
  <c r="AG69" i="7"/>
  <c r="T69" i="7"/>
  <c r="Q69" i="7"/>
  <c r="M69" i="7"/>
  <c r="E69" i="7"/>
  <c r="CH68" i="7"/>
  <c r="CW68" i="7"/>
  <c r="AP68" i="7"/>
  <c r="AM68" i="7"/>
  <c r="AH68" i="7"/>
  <c r="AE68" i="7"/>
  <c r="Z68" i="7"/>
  <c r="M68" i="7"/>
  <c r="E68" i="7"/>
  <c r="CW67" i="7"/>
  <c r="AP67" i="7"/>
  <c r="AM67" i="7"/>
  <c r="AH67" i="7"/>
  <c r="M67" i="7"/>
  <c r="CW66" i="7"/>
  <c r="AP66" i="7"/>
  <c r="AM66" i="7"/>
  <c r="AH66" i="7"/>
  <c r="Q66" i="7"/>
  <c r="M66" i="7"/>
  <c r="E66" i="7"/>
  <c r="CF65" i="7"/>
  <c r="BG65" i="7"/>
  <c r="AP65" i="7"/>
  <c r="AM65" i="7"/>
  <c r="AH65" i="7"/>
  <c r="AE65" i="7"/>
  <c r="M65" i="7"/>
  <c r="CW64" i="7"/>
  <c r="BG64" i="7"/>
  <c r="BF64" i="7"/>
  <c r="AP64" i="7"/>
  <c r="AM64" i="7"/>
  <c r="AH64" i="7"/>
  <c r="M64" i="7"/>
  <c r="E64" i="7"/>
  <c r="CW63" i="7"/>
  <c r="BG63" i="7"/>
  <c r="AP63" i="7"/>
  <c r="AM63" i="7"/>
  <c r="AI63" i="7"/>
  <c r="AH63" i="7"/>
  <c r="Y63" i="7"/>
  <c r="Y108" i="7"/>
  <c r="M63" i="7"/>
  <c r="E63" i="7"/>
  <c r="CW62" i="7"/>
  <c r="BF62" i="7"/>
  <c r="AP62" i="7"/>
  <c r="AM62" i="7"/>
  <c r="AH62" i="7"/>
  <c r="AE62" i="7"/>
  <c r="M62" i="7"/>
  <c r="E62" i="7"/>
  <c r="CW61" i="7"/>
  <c r="BQ61" i="7"/>
  <c r="BG61" i="7"/>
  <c r="AP61" i="7"/>
  <c r="AM61" i="7"/>
  <c r="AH61" i="7"/>
  <c r="AE61" i="7"/>
  <c r="M61" i="7"/>
  <c r="E61" i="7"/>
  <c r="CW60" i="7"/>
  <c r="BF60" i="7"/>
  <c r="AP60" i="7"/>
  <c r="AM60" i="7"/>
  <c r="AH60" i="7"/>
  <c r="AE60" i="7"/>
  <c r="M60" i="7"/>
  <c r="E60" i="7"/>
  <c r="CW59" i="7"/>
  <c r="AP59" i="7"/>
  <c r="AM59" i="7"/>
  <c r="AH59" i="7"/>
  <c r="M59" i="7"/>
  <c r="E59" i="7"/>
  <c r="CH58" i="7"/>
  <c r="CW58" i="7"/>
  <c r="BF58" i="7"/>
  <c r="AP58" i="7"/>
  <c r="AM58" i="7"/>
  <c r="AH58" i="7"/>
  <c r="AE58" i="7"/>
  <c r="M58" i="7"/>
  <c r="E58" i="7"/>
  <c r="CW57" i="7"/>
  <c r="BG57" i="7"/>
  <c r="BF57" i="7"/>
  <c r="AP57" i="7"/>
  <c r="AM57" i="7"/>
  <c r="AL57" i="7"/>
  <c r="AL108" i="7"/>
  <c r="AH57" i="7"/>
  <c r="AF57" i="7"/>
  <c r="AF108" i="7"/>
  <c r="M57" i="7"/>
  <c r="E57" i="7"/>
  <c r="CH56" i="7"/>
  <c r="CE56" i="7"/>
  <c r="BG56" i="7"/>
  <c r="BG108" i="7"/>
  <c r="AP56" i="7"/>
  <c r="AH56" i="7"/>
  <c r="AE56" i="7"/>
  <c r="M56" i="7"/>
  <c r="E56" i="7"/>
  <c r="CW55" i="7"/>
  <c r="BG55" i="7"/>
  <c r="AP55" i="7"/>
  <c r="AM55" i="7"/>
  <c r="AH55" i="7"/>
  <c r="M55" i="7"/>
  <c r="E55" i="7"/>
  <c r="CW54" i="7"/>
  <c r="BI54" i="7"/>
  <c r="BI108" i="7"/>
  <c r="BF54" i="7"/>
  <c r="AP54" i="7"/>
  <c r="AM54" i="7"/>
  <c r="AH54" i="7"/>
  <c r="AG54" i="7"/>
  <c r="M54" i="7"/>
  <c r="E54" i="7"/>
  <c r="CW53" i="7"/>
  <c r="AP53" i="7"/>
  <c r="AM53" i="7"/>
  <c r="AH53" i="7"/>
  <c r="M53" i="7"/>
  <c r="CH52" i="7"/>
  <c r="CW52" i="7"/>
  <c r="AP52" i="7"/>
  <c r="AM52" i="7"/>
  <c r="AH52" i="7"/>
  <c r="M52" i="7"/>
  <c r="CW51" i="7"/>
  <c r="BG51" i="7"/>
  <c r="AP51" i="7"/>
  <c r="AM51" i="7"/>
  <c r="AH51" i="7"/>
  <c r="AE51" i="7"/>
  <c r="M51" i="7"/>
  <c r="E51" i="7"/>
  <c r="E108" i="7"/>
  <c r="CW50" i="7"/>
  <c r="AP50" i="7"/>
  <c r="AM50" i="7"/>
  <c r="AE50" i="7"/>
  <c r="M50" i="7"/>
  <c r="CX49" i="7"/>
  <c r="CV49" i="7"/>
  <c r="CU49" i="7"/>
  <c r="CT49" i="7"/>
  <c r="CS49" i="7"/>
  <c r="CR49" i="7"/>
  <c r="CN49" i="7"/>
  <c r="CM49" i="7"/>
  <c r="CL49" i="7"/>
  <c r="CK49" i="7"/>
  <c r="CJ49" i="7"/>
  <c r="CI49" i="7"/>
  <c r="CG49" i="7"/>
  <c r="CE49" i="7"/>
  <c r="CA49" i="7"/>
  <c r="BZ49" i="7"/>
  <c r="BV49" i="7"/>
  <c r="BU49" i="7"/>
  <c r="BS49" i="7"/>
  <c r="BQ49" i="7"/>
  <c r="BN49" i="7"/>
  <c r="BM49" i="7"/>
  <c r="BK49" i="7"/>
  <c r="BI49" i="7"/>
  <c r="BE49" i="7"/>
  <c r="BB49" i="7"/>
  <c r="BA49" i="7"/>
  <c r="AY49" i="7"/>
  <c r="AV49" i="7"/>
  <c r="AU49" i="7"/>
  <c r="AT49" i="7"/>
  <c r="AS49" i="7"/>
  <c r="AR49" i="7"/>
  <c r="AQ49" i="7"/>
  <c r="AO49" i="7"/>
  <c r="AL49" i="7"/>
  <c r="AK49" i="7"/>
  <c r="AI49" i="7"/>
  <c r="AF49" i="7"/>
  <c r="X49" i="7"/>
  <c r="W49" i="7"/>
  <c r="T49" i="7"/>
  <c r="Q49" i="7"/>
  <c r="L49" i="7"/>
  <c r="C49" i="7"/>
  <c r="CH48" i="7"/>
  <c r="BP48" i="7"/>
  <c r="AP48" i="7"/>
  <c r="AM48" i="7"/>
  <c r="AH48" i="7"/>
  <c r="AE48" i="7"/>
  <c r="U48" i="7"/>
  <c r="M48" i="7"/>
  <c r="E48" i="7"/>
  <c r="CH47" i="7"/>
  <c r="BG47" i="7"/>
  <c r="BF47" i="7"/>
  <c r="AP47" i="7"/>
  <c r="AM47" i="7"/>
  <c r="AH47" i="7"/>
  <c r="AH49" i="7"/>
  <c r="AG47" i="7"/>
  <c r="Z47" i="7"/>
  <c r="R47" i="7"/>
  <c r="E47" i="7"/>
  <c r="CW46" i="7"/>
  <c r="BP46" i="7"/>
  <c r="BF46" i="7"/>
  <c r="AP46" i="7"/>
  <c r="AN46" i="7"/>
  <c r="AM46" i="7"/>
  <c r="AH46" i="7"/>
  <c r="AG46" i="7"/>
  <c r="AE46" i="7"/>
  <c r="U46" i="7"/>
  <c r="M46" i="7"/>
  <c r="E46" i="7"/>
  <c r="CH45" i="7"/>
  <c r="CW45" i="7"/>
  <c r="BG45" i="7"/>
  <c r="AP45" i="7"/>
  <c r="AM45" i="7"/>
  <c r="AH45" i="7"/>
  <c r="U45" i="7"/>
  <c r="R45" i="7"/>
  <c r="M45" i="7"/>
  <c r="E45" i="7"/>
  <c r="CW44" i="7"/>
  <c r="BP44" i="7"/>
  <c r="BG44" i="7"/>
  <c r="AP44" i="7"/>
  <c r="AM44" i="7"/>
  <c r="AH44" i="7"/>
  <c r="AE44" i="7"/>
  <c r="Z44" i="7"/>
  <c r="R44" i="7"/>
  <c r="E44" i="7"/>
  <c r="CW43" i="7"/>
  <c r="BG43" i="7"/>
  <c r="BF43" i="7"/>
  <c r="AP43" i="7"/>
  <c r="AM43" i="7"/>
  <c r="AH43" i="7"/>
  <c r="AE43" i="7"/>
  <c r="U43" i="7"/>
  <c r="M43" i="7"/>
  <c r="E43" i="7"/>
  <c r="CH42" i="7"/>
  <c r="CW42" i="7"/>
  <c r="BG42" i="7"/>
  <c r="AP42" i="7"/>
  <c r="AN42" i="7"/>
  <c r="AM42" i="7"/>
  <c r="AH42" i="7"/>
  <c r="AG42" i="7"/>
  <c r="V42" i="7"/>
  <c r="U42" i="7"/>
  <c r="M42" i="7"/>
  <c r="E42" i="7"/>
  <c r="CH41" i="7"/>
  <c r="CW41" i="7"/>
  <c r="BP41" i="7"/>
  <c r="BG41" i="7"/>
  <c r="AP41" i="7"/>
  <c r="AM41" i="7"/>
  <c r="AH41" i="7"/>
  <c r="AE41" i="7"/>
  <c r="M41" i="7"/>
  <c r="E41" i="7"/>
  <c r="CW40" i="7"/>
  <c r="BP40" i="7"/>
  <c r="BG40" i="7"/>
  <c r="AP40" i="7"/>
  <c r="AM40" i="7"/>
  <c r="AH40" i="7"/>
  <c r="AE40" i="7"/>
  <c r="M40" i="7"/>
  <c r="E40" i="7"/>
  <c r="CW39" i="7"/>
  <c r="BL39" i="7"/>
  <c r="BL49" i="7"/>
  <c r="AP39" i="7"/>
  <c r="AM39" i="7"/>
  <c r="AH39" i="7"/>
  <c r="AG39" i="7"/>
  <c r="Z39" i="7"/>
  <c r="M39" i="7"/>
  <c r="E39" i="7"/>
  <c r="CC38" i="7"/>
  <c r="CW38" i="7"/>
  <c r="BG38" i="7"/>
  <c r="AP38" i="7"/>
  <c r="AM38" i="7"/>
  <c r="AH38" i="7"/>
  <c r="AG38" i="7"/>
  <c r="Z38" i="7"/>
  <c r="Y38" i="7"/>
  <c r="M38" i="7"/>
  <c r="E38" i="7"/>
  <c r="CW37" i="7"/>
  <c r="BP37" i="7"/>
  <c r="BG37" i="7"/>
  <c r="AP37" i="7"/>
  <c r="AN37" i="7"/>
  <c r="AM37" i="7"/>
  <c r="AH37" i="7"/>
  <c r="U37" i="7"/>
  <c r="M37" i="7"/>
  <c r="E37" i="7"/>
  <c r="CH36" i="7"/>
  <c r="CF36" i="7"/>
  <c r="CF49" i="7"/>
  <c r="BP36" i="7"/>
  <c r="BH36" i="7"/>
  <c r="BH49" i="7"/>
  <c r="BG36" i="7"/>
  <c r="AP36" i="7"/>
  <c r="AM36" i="7"/>
  <c r="AH36" i="7"/>
  <c r="AG36" i="7"/>
  <c r="AE36" i="7"/>
  <c r="AA36" i="7"/>
  <c r="P36" i="7"/>
  <c r="M36" i="7"/>
  <c r="O36" i="7"/>
  <c r="O49" i="7"/>
  <c r="N36" i="7"/>
  <c r="N49" i="7"/>
  <c r="CH35" i="7"/>
  <c r="CW35" i="7"/>
  <c r="BT35" i="7"/>
  <c r="BT49" i="7"/>
  <c r="BP35" i="7"/>
  <c r="BG35" i="7"/>
  <c r="AP35" i="7"/>
  <c r="AH35" i="7"/>
  <c r="Z35" i="7"/>
  <c r="M35" i="7"/>
  <c r="E35" i="7"/>
  <c r="CW34" i="7"/>
  <c r="BP34" i="7"/>
  <c r="BG34" i="7"/>
  <c r="AP34" i="7"/>
  <c r="AN34" i="7"/>
  <c r="AM34" i="7"/>
  <c r="AH34" i="7"/>
  <c r="AE34" i="7"/>
  <c r="U34" i="7"/>
  <c r="M34" i="7"/>
  <c r="CF33" i="7"/>
  <c r="CW33" i="7"/>
  <c r="CD33" i="7"/>
  <c r="CD49" i="7"/>
  <c r="CB33" i="7"/>
  <c r="CB49" i="7"/>
  <c r="CB113" i="7"/>
  <c r="BP33" i="7"/>
  <c r="BJ49" i="7"/>
  <c r="BG33" i="7"/>
  <c r="AP33" i="7"/>
  <c r="AM33" i="7"/>
  <c r="AH33" i="7"/>
  <c r="AG33" i="7"/>
  <c r="M33" i="7"/>
  <c r="E33" i="7"/>
  <c r="CW32" i="7"/>
  <c r="BG32" i="7"/>
  <c r="AP32" i="7"/>
  <c r="AM32" i="7"/>
  <c r="AH32" i="7"/>
  <c r="AE32" i="7"/>
  <c r="Z32" i="7"/>
  <c r="U32" i="7"/>
  <c r="M32" i="7"/>
  <c r="K32" i="7"/>
  <c r="K49" i="7"/>
  <c r="E32" i="7"/>
  <c r="CW31" i="7"/>
  <c r="BR31" i="7"/>
  <c r="BR49" i="7"/>
  <c r="BP31" i="7"/>
  <c r="BG31" i="7"/>
  <c r="AP31" i="7"/>
  <c r="AM31" i="7"/>
  <c r="AH31" i="7"/>
  <c r="AG31" i="7"/>
  <c r="V31" i="7"/>
  <c r="V49" i="7"/>
  <c r="M31" i="7"/>
  <c r="CH30" i="7"/>
  <c r="CF30" i="7"/>
  <c r="BW49" i="7"/>
  <c r="BO30" i="7"/>
  <c r="BO49" i="7"/>
  <c r="BG30" i="7"/>
  <c r="AP30" i="7"/>
  <c r="AM30" i="7"/>
  <c r="AH30" i="7"/>
  <c r="AE30" i="7"/>
  <c r="M30" i="7"/>
  <c r="E30" i="7"/>
  <c r="CW29" i="7"/>
  <c r="BP29" i="7"/>
  <c r="BG29" i="7"/>
  <c r="AP29" i="7"/>
  <c r="AM29" i="7"/>
  <c r="AJ29" i="7"/>
  <c r="AJ49" i="7"/>
  <c r="AH29" i="7"/>
  <c r="AA29" i="7"/>
  <c r="Z29" i="7"/>
  <c r="Y29" i="7"/>
  <c r="M29" i="7"/>
  <c r="E29" i="7"/>
  <c r="CW28" i="7"/>
  <c r="BP28" i="7"/>
  <c r="BG28" i="7"/>
  <c r="AP28" i="7"/>
  <c r="AM28" i="7"/>
  <c r="AH28" i="7"/>
  <c r="AE28" i="7"/>
  <c r="R28" i="7"/>
  <c r="E28" i="7"/>
  <c r="CW27" i="7"/>
  <c r="BG27" i="7"/>
  <c r="AP27" i="7"/>
  <c r="AM27" i="7"/>
  <c r="AE27" i="7"/>
  <c r="M27" i="7"/>
  <c r="CX26" i="7"/>
  <c r="CV26" i="7"/>
  <c r="CV113" i="7"/>
  <c r="CT26" i="7"/>
  <c r="CT113" i="7"/>
  <c r="CM26" i="7"/>
  <c r="CM113" i="7"/>
  <c r="CL26" i="7"/>
  <c r="CK26" i="7"/>
  <c r="CK113" i="7"/>
  <c r="CJ26" i="7"/>
  <c r="CJ113" i="7"/>
  <c r="CI26" i="7"/>
  <c r="CI113" i="7"/>
  <c r="CE26" i="7"/>
  <c r="CC26" i="7"/>
  <c r="BZ26" i="7"/>
  <c r="BZ113" i="7"/>
  <c r="BW26" i="7"/>
  <c r="BV26" i="7"/>
  <c r="BV113" i="7"/>
  <c r="BQ26" i="7"/>
  <c r="BP26" i="7"/>
  <c r="BO26" i="7"/>
  <c r="BO113" i="7"/>
  <c r="BM26" i="7"/>
  <c r="BK26" i="7"/>
  <c r="BK113" i="7"/>
  <c r="BI26" i="7"/>
  <c r="BF26" i="7"/>
  <c r="BE26" i="7"/>
  <c r="BB26" i="7"/>
  <c r="BB113" i="7"/>
  <c r="BA26" i="7"/>
  <c r="BA113" i="7"/>
  <c r="AY26" i="7"/>
  <c r="AV26" i="7"/>
  <c r="AV113" i="7"/>
  <c r="AU26" i="7"/>
  <c r="AT26" i="7"/>
  <c r="AR26" i="7"/>
  <c r="AQ26" i="7"/>
  <c r="AQ113" i="7"/>
  <c r="AL26" i="7"/>
  <c r="AG26" i="7"/>
  <c r="W26" i="7"/>
  <c r="T26" i="7"/>
  <c r="R26" i="7"/>
  <c r="Q26" i="7"/>
  <c r="P26" i="7"/>
  <c r="O26" i="7"/>
  <c r="O113" i="7"/>
  <c r="N26" i="7"/>
  <c r="L26" i="7"/>
  <c r="L113" i="7"/>
  <c r="C26" i="7"/>
  <c r="C113" i="7"/>
  <c r="BR25" i="7"/>
  <c r="BR26" i="7"/>
  <c r="BG25" i="7"/>
  <c r="AP25" i="7"/>
  <c r="AJ25" i="7"/>
  <c r="AE25" i="7"/>
  <c r="AH25" i="7"/>
  <c r="M25" i="7"/>
  <c r="CS24" i="7"/>
  <c r="CW24" i="7"/>
  <c r="CF24" i="7"/>
  <c r="BG24" i="7"/>
  <c r="AP24" i="7"/>
  <c r="AM24" i="7"/>
  <c r="AH24" i="7"/>
  <c r="AE24" i="7"/>
  <c r="Y24" i="7"/>
  <c r="M24" i="7"/>
  <c r="CW23" i="7"/>
  <c r="BS23" i="7"/>
  <c r="BG23" i="7"/>
  <c r="AS23" i="7"/>
  <c r="AP23" i="7"/>
  <c r="AM23" i="7"/>
  <c r="AJ23" i="7"/>
  <c r="AH23" i="7"/>
  <c r="AE23" i="7"/>
  <c r="Y23" i="7"/>
  <c r="M23" i="7"/>
  <c r="CW22" i="7"/>
  <c r="BL22" i="7"/>
  <c r="BG22" i="7"/>
  <c r="AS22" i="7"/>
  <c r="AP22" i="7"/>
  <c r="AK22" i="7"/>
  <c r="AJ22" i="7"/>
  <c r="AI22" i="7"/>
  <c r="AH22" i="7"/>
  <c r="M22" i="7"/>
  <c r="CD21" i="7"/>
  <c r="CW21" i="7"/>
  <c r="BS21" i="7"/>
  <c r="BG21" i="7"/>
  <c r="AS21" i="7"/>
  <c r="AP21" i="7"/>
  <c r="AH21" i="7"/>
  <c r="AE21" i="7"/>
  <c r="Y21" i="7"/>
  <c r="M21" i="7"/>
  <c r="CW20" i="7"/>
  <c r="BH20" i="7"/>
  <c r="BG20" i="7"/>
  <c r="AP20" i="7"/>
  <c r="AM20" i="7"/>
  <c r="AJ20" i="7"/>
  <c r="AH20" i="7"/>
  <c r="AE20" i="7"/>
  <c r="AA20" i="7"/>
  <c r="X20" i="7"/>
  <c r="X26" i="7"/>
  <c r="X113" i="7"/>
  <c r="M20" i="7"/>
  <c r="CH19" i="7"/>
  <c r="CH26" i="7"/>
  <c r="CF19" i="7"/>
  <c r="CD19" i="7"/>
  <c r="CW19" i="7"/>
  <c r="BT19" i="7"/>
  <c r="BL19" i="7"/>
  <c r="BJ19" i="7"/>
  <c r="BH19" i="7"/>
  <c r="BH26" i="7"/>
  <c r="BH113" i="7"/>
  <c r="BG19" i="7"/>
  <c r="AP19" i="7"/>
  <c r="AM19" i="7"/>
  <c r="AK19" i="7"/>
  <c r="AE19" i="7"/>
  <c r="AH19" i="7"/>
  <c r="Y19" i="7"/>
  <c r="M19" i="7"/>
  <c r="CD18" i="7"/>
  <c r="CW18" i="7"/>
  <c r="BL18" i="7"/>
  <c r="BG18" i="7"/>
  <c r="AP18" i="7"/>
  <c r="AM18" i="7"/>
  <c r="AJ18" i="7"/>
  <c r="AH18" i="7"/>
  <c r="Y18" i="7"/>
  <c r="M18" i="7"/>
  <c r="CG17" i="7"/>
  <c r="CW17" i="7"/>
  <c r="BU17" i="7"/>
  <c r="BU26" i="7"/>
  <c r="BU113" i="7"/>
  <c r="BT17" i="7"/>
  <c r="BT26" i="7"/>
  <c r="BT113" i="7"/>
  <c r="BG17" i="7"/>
  <c r="AP17" i="7"/>
  <c r="AK17" i="7"/>
  <c r="AJ17" i="7"/>
  <c r="AH17" i="7"/>
  <c r="AE17" i="7"/>
  <c r="AA17" i="7"/>
  <c r="Y17" i="7"/>
  <c r="V17" i="7"/>
  <c r="M17" i="7"/>
  <c r="CW16" i="7"/>
  <c r="BS16" i="7"/>
  <c r="BS26" i="7"/>
  <c r="BS113" i="7"/>
  <c r="BH16" i="7"/>
  <c r="BG16" i="7"/>
  <c r="AS16" i="7"/>
  <c r="AP16" i="7"/>
  <c r="AM16" i="7"/>
  <c r="AJ16" i="7"/>
  <c r="AH16" i="7"/>
  <c r="V16" i="7"/>
  <c r="M16" i="7"/>
  <c r="CF15" i="7"/>
  <c r="CF26" i="7"/>
  <c r="CD15" i="7"/>
  <c r="BL15" i="7"/>
  <c r="BJ15" i="7"/>
  <c r="BJ26" i="7"/>
  <c r="BG15" i="7"/>
  <c r="AS15" i="7"/>
  <c r="AP15" i="7"/>
  <c r="AO15" i="7"/>
  <c r="AO26" i="7"/>
  <c r="AK15" i="7"/>
  <c r="AJ15" i="7"/>
  <c r="AI15" i="7"/>
  <c r="AH15" i="7"/>
  <c r="AF15" i="7"/>
  <c r="AF26" i="7"/>
  <c r="AF113" i="7"/>
  <c r="M15" i="7"/>
  <c r="CS14" i="7"/>
  <c r="CS26" i="7"/>
  <c r="CS113" i="7"/>
  <c r="CR26" i="7"/>
  <c r="CN14" i="7"/>
  <c r="BL14" i="7"/>
  <c r="BL26" i="7"/>
  <c r="BL113" i="7"/>
  <c r="BG14" i="7"/>
  <c r="AP14" i="7"/>
  <c r="AK14" i="7"/>
  <c r="AJ14" i="7"/>
  <c r="AI14" i="7"/>
  <c r="AH14" i="7"/>
  <c r="AE14" i="7"/>
  <c r="AA14" i="7"/>
  <c r="AA26" i="7"/>
  <c r="Y14" i="7"/>
  <c r="Y26" i="7"/>
  <c r="M14" i="7"/>
  <c r="K14" i="7"/>
  <c r="K26" i="7"/>
  <c r="K113" i="7"/>
  <c r="BG13" i="7"/>
  <c r="AP13" i="7"/>
  <c r="AM13" i="7"/>
  <c r="AH13" i="7"/>
  <c r="AE13" i="7"/>
  <c r="M13" i="7"/>
  <c r="AE47" i="7"/>
  <c r="AE31" i="7"/>
  <c r="Y49" i="7"/>
  <c r="AE45" i="7"/>
  <c r="AE78" i="7"/>
  <c r="AR113" i="7"/>
  <c r="AE53" i="7"/>
  <c r="AE55" i="7"/>
  <c r="AE33" i="7"/>
  <c r="CE108" i="7"/>
  <c r="CE113" i="7"/>
  <c r="CW56" i="7"/>
  <c r="AE59" i="7"/>
  <c r="AE80" i="7"/>
  <c r="AE35" i="7"/>
  <c r="Z49" i="7"/>
  <c r="CF108" i="7"/>
  <c r="CW65" i="7"/>
  <c r="AE77" i="7"/>
  <c r="AO108" i="7"/>
  <c r="AT113" i="7"/>
  <c r="AE52" i="7"/>
  <c r="AE64" i="7"/>
  <c r="AE66" i="7"/>
  <c r="AE67" i="7"/>
  <c r="AE87" i="7"/>
  <c r="CW48" i="7"/>
  <c r="AP49" i="7"/>
  <c r="AE72" i="7"/>
  <c r="BD113" i="7"/>
  <c r="P49" i="7"/>
  <c r="AE42" i="7"/>
  <c r="AA108" i="7"/>
  <c r="AE38" i="7"/>
  <c r="BP49" i="7"/>
  <c r="BP113" i="7"/>
  <c r="AE54" i="7"/>
  <c r="M44" i="7"/>
  <c r="CR113" i="7"/>
  <c r="BF108" i="7"/>
  <c r="G49" i="7"/>
  <c r="BY49" i="7"/>
  <c r="CH108" i="7"/>
  <c r="AK26" i="7"/>
  <c r="AK113" i="7"/>
  <c r="AM15" i="7"/>
  <c r="AE16" i="7"/>
  <c r="CG26" i="7"/>
  <c r="CG113" i="7"/>
  <c r="AE22" i="7"/>
  <c r="P113" i="7"/>
  <c r="M113" i="7"/>
  <c r="W113" i="7"/>
  <c r="CL113" i="7"/>
  <c r="CX113" i="7"/>
  <c r="CW30" i="7"/>
  <c r="AE39" i="7"/>
  <c r="T108" i="7"/>
  <c r="T113" i="7"/>
  <c r="BQ108" i="7"/>
  <c r="BQ113" i="7"/>
  <c r="AL113" i="7"/>
  <c r="BW113" i="7"/>
  <c r="BF49" i="7"/>
  <c r="BF113" i="7"/>
  <c r="Q108" i="7"/>
  <c r="Q113" i="7"/>
  <c r="BJ113" i="7"/>
  <c r="BE113" i="7"/>
  <c r="BI113" i="7"/>
  <c r="CW105" i="7"/>
  <c r="U108" i="7"/>
  <c r="CP113" i="7"/>
  <c r="BG49" i="7"/>
  <c r="U26" i="7"/>
  <c r="M26" i="7"/>
  <c r="CW36" i="7"/>
  <c r="AS26" i="7"/>
  <c r="AS113" i="7"/>
  <c r="AO113" i="7"/>
  <c r="CC49" i="7"/>
  <c r="CC113" i="7"/>
  <c r="BG26" i="7"/>
  <c r="AI26" i="7"/>
  <c r="AE18" i="7"/>
  <c r="BR113" i="7"/>
  <c r="AU113" i="7"/>
  <c r="AP108" i="7"/>
  <c r="AP113" i="7"/>
  <c r="AE57" i="7"/>
  <c r="AE75" i="7"/>
  <c r="Z108" i="7"/>
  <c r="Z113" i="7"/>
  <c r="AZ113" i="7"/>
  <c r="S26" i="7"/>
  <c r="S108" i="7"/>
  <c r="S113" i="7"/>
  <c r="CO113" i="7"/>
  <c r="H26" i="7"/>
  <c r="AE100" i="7"/>
  <c r="V26" i="7"/>
  <c r="V113" i="7"/>
  <c r="CW25" i="7"/>
  <c r="CU26" i="7"/>
  <c r="CU113" i="7"/>
  <c r="I26" i="7"/>
  <c r="I113" i="7"/>
  <c r="AM56" i="7"/>
  <c r="AN108" i="7"/>
  <c r="AH108" i="7"/>
  <c r="AE69" i="7"/>
  <c r="AE15" i="7"/>
  <c r="CD26" i="7"/>
  <c r="CD113" i="7"/>
  <c r="CW15" i="7"/>
  <c r="AM17" i="7"/>
  <c r="M28" i="7"/>
  <c r="M47" i="7"/>
  <c r="R49" i="7"/>
  <c r="R113" i="7"/>
  <c r="CW47" i="7"/>
  <c r="CH49" i="7"/>
  <c r="CH113" i="7"/>
  <c r="AY113" i="7"/>
  <c r="CQ113" i="7"/>
  <c r="AG108" i="7"/>
  <c r="CW14" i="7"/>
  <c r="CN26" i="7"/>
  <c r="CN113" i="7"/>
  <c r="CF113" i="7"/>
  <c r="M49" i="7"/>
  <c r="E49" i="7"/>
  <c r="E113" i="7"/>
  <c r="M80" i="7"/>
  <c r="M108" i="7"/>
  <c r="CA26" i="7"/>
  <c r="CW13" i="7"/>
  <c r="Y113" i="7"/>
  <c r="U49" i="7"/>
  <c r="AI108" i="7"/>
  <c r="AP26" i="7"/>
  <c r="AN49" i="7"/>
  <c r="AE63" i="7"/>
  <c r="BG113" i="7"/>
  <c r="AI113" i="7"/>
  <c r="AJ26" i="7"/>
  <c r="AJ113" i="7"/>
  <c r="AA49" i="7"/>
  <c r="AA113" i="7"/>
  <c r="AG49" i="7"/>
  <c r="CW108" i="7"/>
  <c r="AE83" i="7"/>
  <c r="J49" i="7"/>
  <c r="J113" i="7"/>
  <c r="AH26" i="7"/>
  <c r="AE29" i="7"/>
  <c r="AE37" i="7"/>
  <c r="AN26" i="7"/>
  <c r="AN113" i="7"/>
  <c r="N113" i="7"/>
  <c r="AM49" i="7"/>
  <c r="AM14" i="7"/>
  <c r="U113" i="7"/>
  <c r="AE108" i="7"/>
  <c r="AM108" i="7"/>
  <c r="AE49" i="7"/>
  <c r="AG113" i="7"/>
  <c r="CA113" i="7"/>
  <c r="CW113" i="7"/>
  <c r="CW26" i="7"/>
  <c r="CW49" i="7"/>
  <c r="AE26" i="7"/>
  <c r="AH113" i="7"/>
  <c r="AM26" i="7"/>
  <c r="AM113" i="7"/>
  <c r="CW122" i="7"/>
  <c r="CW125" i="7"/>
  <c r="CW124" i="7"/>
  <c r="AC113" i="7"/>
  <c r="AB108" i="7"/>
  <c r="BY56" i="7"/>
  <c r="AB49" i="7"/>
  <c r="AB26" i="7"/>
  <c r="BY13" i="7"/>
  <c r="AD113" i="7"/>
  <c r="AB113" i="7"/>
  <c r="BY108" i="7"/>
  <c r="BY113" i="7"/>
  <c r="BY121" i="7"/>
  <c r="BY26" i="7"/>
</calcChain>
</file>

<file path=xl/sharedStrings.xml><?xml version="1.0" encoding="utf-8"?>
<sst xmlns="http://schemas.openxmlformats.org/spreadsheetml/2006/main" count="686" uniqueCount="366">
  <si>
    <t>грн</t>
  </si>
  <si>
    <t>Код бюджету</t>
  </si>
  <si>
    <t>Обсяги міжбюджетних трансфертів, що передаються з обласного бюджету до державного бюджету</t>
  </si>
  <si>
    <t>Разом</t>
  </si>
  <si>
    <t>загальний фонд</t>
  </si>
  <si>
    <t>спеціальний фонд</t>
  </si>
  <si>
    <t>субвенції на здійснення програм соціального захисту:</t>
  </si>
  <si>
    <t>інші субвенції</t>
  </si>
  <si>
    <t>на охорону і раціональне використання земель</t>
  </si>
  <si>
    <t>04100000000</t>
  </si>
  <si>
    <t>Обласний бюджет</t>
  </si>
  <si>
    <t>Державний бюджет</t>
  </si>
  <si>
    <t>04202100000</t>
  </si>
  <si>
    <t>04201100000</t>
  </si>
  <si>
    <t>04203100000</t>
  </si>
  <si>
    <t>04204100000</t>
  </si>
  <si>
    <t>04205100000</t>
  </si>
  <si>
    <t>04206100000</t>
  </si>
  <si>
    <t>04207100000</t>
  </si>
  <si>
    <t>04208100000</t>
  </si>
  <si>
    <t>04209100000</t>
  </si>
  <si>
    <t>04210100000</t>
  </si>
  <si>
    <t>04211100000</t>
  </si>
  <si>
    <t>04212100000</t>
  </si>
  <si>
    <t>04213100000</t>
  </si>
  <si>
    <t>04301200000</t>
  </si>
  <si>
    <t>04302200000</t>
  </si>
  <si>
    <t>04303200000</t>
  </si>
  <si>
    <t>04304200000</t>
  </si>
  <si>
    <t>04305200000</t>
  </si>
  <si>
    <t>04306200000</t>
  </si>
  <si>
    <t>04307200000</t>
  </si>
  <si>
    <t>04308200000</t>
  </si>
  <si>
    <t>04309200000</t>
  </si>
  <si>
    <t>04310200000</t>
  </si>
  <si>
    <t>04311200000</t>
  </si>
  <si>
    <t>04312200000</t>
  </si>
  <si>
    <t>04313200000</t>
  </si>
  <si>
    <t>04314200000</t>
  </si>
  <si>
    <t>04315200000</t>
  </si>
  <si>
    <t>04316200000</t>
  </si>
  <si>
    <t>04317200000</t>
  </si>
  <si>
    <t>04318200000</t>
  </si>
  <si>
    <t>04319200000</t>
  </si>
  <si>
    <t>04320200000</t>
  </si>
  <si>
    <t>04321200000</t>
  </si>
  <si>
    <t>04322200000</t>
  </si>
  <si>
    <t>Обсяги міжбюджетних трансфертів, що передаються з обласного бюджету до місцевих бюджетів</t>
  </si>
  <si>
    <t>Назва адміністративно-територіальних одиниць</t>
  </si>
  <si>
    <t>Апостолівський р-н</t>
  </si>
  <si>
    <t xml:space="preserve">Разом </t>
  </si>
  <si>
    <t>м. Вільногірськ</t>
  </si>
  <si>
    <t>м. Жовті Води</t>
  </si>
  <si>
    <t>м. Кривий Ріг</t>
  </si>
  <si>
    <t>м. Марганець</t>
  </si>
  <si>
    <t>м. Нікополь</t>
  </si>
  <si>
    <t>м. Новомосковськ</t>
  </si>
  <si>
    <t>м. Павлоград</t>
  </si>
  <si>
    <t>м. Першотравенськ</t>
  </si>
  <si>
    <t>м. Синельникове</t>
  </si>
  <si>
    <t>м. Тернівка</t>
  </si>
  <si>
    <t>Васильківський р-н</t>
  </si>
  <si>
    <t>Верхньодніпровський р-н</t>
  </si>
  <si>
    <t>Криворізький р-н</t>
  </si>
  <si>
    <t>Криничанський р-н</t>
  </si>
  <si>
    <t>Магдалинівський р-н</t>
  </si>
  <si>
    <t>Межівський р-н</t>
  </si>
  <si>
    <t>Нікопольський р-н</t>
  </si>
  <si>
    <t>Новомосковський р-н</t>
  </si>
  <si>
    <t>Павлоградський р-н</t>
  </si>
  <si>
    <t>Петриківський р-н</t>
  </si>
  <si>
    <t>Петропавлівський р-н</t>
  </si>
  <si>
    <t>Покровський р-н</t>
  </si>
  <si>
    <t>П’ятихатський р-н</t>
  </si>
  <si>
    <t>Синельниківський р-н</t>
  </si>
  <si>
    <t>Солонянський р-н</t>
  </si>
  <si>
    <t>Софіївський р-н</t>
  </si>
  <si>
    <t>Томаківський р-н</t>
  </si>
  <si>
    <t>Царичанський р-н</t>
  </si>
  <si>
    <t>Широківський р-н</t>
  </si>
  <si>
    <t>Юр’ївський р-н</t>
  </si>
  <si>
    <t xml:space="preserve">Обсяги міжбюджетних трансфертів, що передаються з обласного бюджету до місцевих бюджетів за рахунок коштів  державного бюджету </t>
  </si>
  <si>
    <t>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</si>
  <si>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м. Покров</t>
  </si>
  <si>
    <t>Дніпровський р-н</t>
  </si>
  <si>
    <t>Реверсна дотація</t>
  </si>
  <si>
    <t>м. Дніпро</t>
  </si>
  <si>
    <t>субвенції</t>
  </si>
  <si>
    <t>КПКВК 3719110</t>
  </si>
  <si>
    <t>КПКВК 3719230</t>
  </si>
  <si>
    <t>КПКВК 3719210</t>
  </si>
  <si>
    <t>КПКВК 3719220</t>
  </si>
  <si>
    <t>КПКВК 3719250</t>
  </si>
  <si>
    <t>КПКВК 2819800</t>
  </si>
  <si>
    <t>КПКВК 0119770</t>
  </si>
  <si>
    <t>КПКВК 2419770</t>
  </si>
  <si>
    <t>на фінансування переможців обласного конкурсу проектів і програм розвитку місцевого самоврядування</t>
  </si>
  <si>
    <t>КПКВК 3719130</t>
  </si>
  <si>
    <t>на природоохоронні заходи</t>
  </si>
  <si>
    <t>Об’єднані територіальні громади</t>
  </si>
  <si>
    <t>04501000000</t>
  </si>
  <si>
    <t>Апостолівська міська рада</t>
  </si>
  <si>
    <t>04502000000</t>
  </si>
  <si>
    <t xml:space="preserve">Богданівська сільська рада </t>
  </si>
  <si>
    <t>04503000000</t>
  </si>
  <si>
    <t>Вербківська сільська рада</t>
  </si>
  <si>
    <t>04504000000</t>
  </si>
  <si>
    <t>Святовасилівська сільська рада</t>
  </si>
  <si>
    <t>04506000000</t>
  </si>
  <si>
    <t>Зеленодольська міська рада</t>
  </si>
  <si>
    <t>04507000000</t>
  </si>
  <si>
    <t>Грушівська сільська рада</t>
  </si>
  <si>
    <t>04508000000</t>
  </si>
  <si>
    <t>Ляшківська сільська рада</t>
  </si>
  <si>
    <t>04510000000</t>
  </si>
  <si>
    <t>Нивотрудівська сільська рада</t>
  </si>
  <si>
    <t>04511000000</t>
  </si>
  <si>
    <t>Новоолександрівська сільська рада</t>
  </si>
  <si>
    <t>04512000000</t>
  </si>
  <si>
    <t>Новопокровська селищна рада</t>
  </si>
  <si>
    <t>04513000000</t>
  </si>
  <si>
    <t>Солонянська селищна рада</t>
  </si>
  <si>
    <t>04514000000</t>
  </si>
  <si>
    <t xml:space="preserve">Сурсько-Литовська сільська рада </t>
  </si>
  <si>
    <t>04515000000</t>
  </si>
  <si>
    <t>04517000000</t>
  </si>
  <si>
    <t>04518000000</t>
  </si>
  <si>
    <t>Божедарівська селищна рада</t>
  </si>
  <si>
    <t>04519000000</t>
  </si>
  <si>
    <t>Васильківська селищна рада</t>
  </si>
  <si>
    <t>04521000000</t>
  </si>
  <si>
    <t>Криничанська селищна рада</t>
  </si>
  <si>
    <t>04524000000</t>
  </si>
  <si>
    <t>Роздорська селищна рада</t>
  </si>
  <si>
    <t>04527000000</t>
  </si>
  <si>
    <t>Царичанська селищна рада</t>
  </si>
  <si>
    <t>04529000000</t>
  </si>
  <si>
    <t>Великомихайлівська сільська рада</t>
  </si>
  <si>
    <t>04530000000</t>
  </si>
  <si>
    <t>Гречаноподівська сільська рада</t>
  </si>
  <si>
    <t>04531000000</t>
  </si>
  <si>
    <t>Маломихайлівська сільська рада</t>
  </si>
  <si>
    <t>04532000000</t>
  </si>
  <si>
    <t>Новолатівська сільська рада</t>
  </si>
  <si>
    <t>04533000000</t>
  </si>
  <si>
    <t>Новопавлівська сільська рада</t>
  </si>
  <si>
    <t>04534000000</t>
  </si>
  <si>
    <t>Чкаловська сільська рада</t>
  </si>
  <si>
    <t>Зайцівська сільська рада</t>
  </si>
  <si>
    <t>Карпівська селищна рада</t>
  </si>
  <si>
    <t>Китайгородська сільська рада</t>
  </si>
  <si>
    <t>Лошкарівська сільська рада</t>
  </si>
  <si>
    <t>Межівська селищна рада</t>
  </si>
  <si>
    <t>Межиріцька сільська рада</t>
  </si>
  <si>
    <t>Раївська сільська рада</t>
  </si>
  <si>
    <t>Славгородська селищна рада</t>
  </si>
  <si>
    <t xml:space="preserve">Троїцька сільська рада </t>
  </si>
  <si>
    <t>Червоногригорівська селищна рада</t>
  </si>
  <si>
    <t>Широківська селищна рада</t>
  </si>
  <si>
    <t>04509000000</t>
  </si>
  <si>
    <t>Могилівська сільська рада</t>
  </si>
  <si>
    <t>Усього</t>
  </si>
  <si>
    <t>м. Кам’янське</t>
  </si>
  <si>
    <t>КПКВК 0719460</t>
  </si>
  <si>
    <t>КПКВК 0919270</t>
  </si>
  <si>
    <t>на виконання доручень виборців депутатами обласної ради у 2018 році</t>
  </si>
  <si>
    <t>04545000000</t>
  </si>
  <si>
    <t>04550000000</t>
  </si>
  <si>
    <t>04549000000</t>
  </si>
  <si>
    <t>04538000000</t>
  </si>
  <si>
    <t>04537000000</t>
  </si>
  <si>
    <t>04541000000</t>
  </si>
  <si>
    <t>04535000000</t>
  </si>
  <si>
    <t>04544000000</t>
  </si>
  <si>
    <t>04539000000</t>
  </si>
  <si>
    <t>04543000000</t>
  </si>
  <si>
    <t>04546000000</t>
  </si>
  <si>
    <t>04548000000</t>
  </si>
  <si>
    <t>04542000000</t>
  </si>
  <si>
    <t>04540000000</t>
  </si>
  <si>
    <t>КПКВК 0219620</t>
  </si>
  <si>
    <t>04554000000</t>
  </si>
  <si>
    <t>04556000000</t>
  </si>
  <si>
    <t>у тому числі</t>
  </si>
  <si>
    <t>КПКВК 2219800</t>
  </si>
  <si>
    <t>КПКВК 3719800</t>
  </si>
  <si>
    <t>на 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t>
  </si>
  <si>
    <t>на реалізацію заходів програми впровадження державної політики органами виконавчої влади у Дніпропетровській області на 2016 – 2020 роки</t>
  </si>
  <si>
    <t>КФКД 41053700</t>
  </si>
  <si>
    <t>на співфінансування інвестиційних проектів</t>
  </si>
  <si>
    <t>Слобожанська селищна рада</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</si>
  <si>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</si>
  <si>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КФКД 41053900</t>
  </si>
  <si>
    <t>04520000000</t>
  </si>
  <si>
    <t>Вишнівська селищна рада</t>
  </si>
  <si>
    <t>04526000000</t>
  </si>
  <si>
    <t>Томаківська селищна рада</t>
  </si>
  <si>
    <t>04528000000</t>
  </si>
  <si>
    <t>Варварівська сільська рада</t>
  </si>
  <si>
    <t>КФКД 41053500</t>
  </si>
  <si>
    <t>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</si>
  <si>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Українська сільська рада </t>
  </si>
  <si>
    <t xml:space="preserve">Девладівська сільська рада </t>
  </si>
  <si>
    <t>КПКВК 0619320</t>
  </si>
  <si>
    <t>на оновлення матеріально-технічної бази</t>
  </si>
  <si>
    <t>на підтримку інклюзивної освіти</t>
  </si>
  <si>
    <t>на впровадження новітніх технологій</t>
  </si>
  <si>
    <t xml:space="preserve">  З НИХ               </t>
  </si>
  <si>
    <t>на оснащення закладів загальної середньої освіти з поглибленим/ профільним навчанням та опорних шкіл засобами навчання</t>
  </si>
  <si>
    <t>на придбання обладнання та витратних матеріалів для початкової школи</t>
  </si>
  <si>
    <t>на придбання обладнання для інноваційного навчально-тренінгового класу</t>
  </si>
  <si>
    <t>на придбання обладнання для створення умов для підготовки та проведення зовнішнього незалежного оцінювання з іноземних мов</t>
  </si>
  <si>
    <t>КФКД 41051500</t>
  </si>
  <si>
    <t>на здійснення переданих видатків у сфері охорони здоров’я за рахунок коштів медичної субвенції</t>
  </si>
  <si>
    <t>05100000000</t>
  </si>
  <si>
    <t>Обласний бюджет Донецької області</t>
  </si>
  <si>
    <t>КПКВК 0719770</t>
  </si>
  <si>
    <t>04551000000</t>
  </si>
  <si>
    <t>Миколаївська сільська рада
(Васильківський р-н)</t>
  </si>
  <si>
    <t>Миколаївська сільська рада
(Петропавлівський р-н)</t>
  </si>
  <si>
    <t>04516000000</t>
  </si>
  <si>
    <t>Мирівська сільська рада</t>
  </si>
  <si>
    <t>КФКД 41053300</t>
  </si>
  <si>
    <t>11100000000</t>
  </si>
  <si>
    <t>Обласний бюджет Кіровоградської області</t>
  </si>
  <si>
    <t>КПКВК 0719410</t>
  </si>
  <si>
    <t>Першотравневська сільська рада</t>
  </si>
  <si>
    <t>04525000000</t>
  </si>
  <si>
    <t>Софіївська селищна рада</t>
  </si>
  <si>
    <t>КПКВК 3719150</t>
  </si>
  <si>
    <t>інші  дотаціі з місцевого бюджету</t>
  </si>
  <si>
    <t>КПКВК 3719570</t>
  </si>
  <si>
    <t>КПКВК 0719420</t>
  </si>
  <si>
    <t>Субвенція з місцевого бюджету за рахунок залишку коштів медичної субвенції, що утворився на початок бюджетного періоду</t>
  </si>
  <si>
    <t>04552000000</t>
  </si>
  <si>
    <t>Юр’ївська селищна рада</t>
  </si>
  <si>
    <t>КПКВК 0619770</t>
  </si>
  <si>
    <t>на створення ресурсних кімнат для дітей з особливими освітніми потребами, що потребують інклюзивної освіти</t>
  </si>
  <si>
    <t>04523000000</t>
  </si>
  <si>
    <t>Покровська селищна рада</t>
  </si>
  <si>
    <t>04522000000</t>
  </si>
  <si>
    <t>Лихівська селищна рада</t>
  </si>
  <si>
    <t>04505000000</t>
  </si>
  <si>
    <t>Вакулівська сільська рада</t>
  </si>
  <si>
    <t>на придбання обладнання для  кабінетів української мови в закладах загальної середньої освіти з навчанням мовами національних меншин</t>
  </si>
  <si>
    <t>КПКВК 0619800</t>
  </si>
  <si>
    <t>на виконання програм соціально-економічного розвитку регіонів</t>
  </si>
  <si>
    <t xml:space="preserve">за рахунок залишку субвенції з державного бюджету місцевим бюджетам на здійснення заходів щодо соціально-економічного розвитку окремих територій </t>
  </si>
  <si>
    <t>КПКВК 1519770</t>
  </si>
  <si>
    <t>КПКВК 6819800</t>
  </si>
  <si>
    <t xml:space="preserve">на підготовку і проведення перших виборів депутатів сільських, селищних, міських рад і відповідних сільських, селищних, міських голів </t>
  </si>
  <si>
    <t>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 селищних, міських рад і відповідних сільських, селищних, міських голів</t>
  </si>
  <si>
    <t>КПКВК 1219610</t>
  </si>
  <si>
    <t>04547000000</t>
  </si>
  <si>
    <r>
      <t xml:space="preserve">З НИХ       </t>
    </r>
    <r>
      <rPr>
        <i/>
        <sz val="40"/>
        <rFont val="Arial Cyr"/>
        <family val="2"/>
        <charset val="204"/>
      </rPr>
      <t xml:space="preserve">      </t>
    </r>
  </si>
  <si>
    <t>Обсяги міжбюджетних трансфертів, що передаються з інших місцевих бюджетів до обласного бюджету</t>
  </si>
  <si>
    <t xml:space="preserve">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t>
  </si>
  <si>
    <t>Петриківська селищна рада</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</si>
  <si>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</si>
  <si>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на підготовку і проведення повторного голосування з перших виборів депутатів сільських, селищних рад </t>
  </si>
  <si>
    <t>на підтримку об’єднаних територіальних громад (впровадження енергозберігаючих технологій)</t>
  </si>
  <si>
    <t>на виконання заходів регіональної цільової соціальної програми „Освіта Дніпропетровщини до 2018 року”</t>
  </si>
  <si>
    <t>на реалізацію заходів Регіональної цільової соціальної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2016 – 2020 роки</t>
  </si>
  <si>
    <t>на реалізацію заходів програми впровадження державної політики органами виконавчої влади у Дніпропетровській області
на 2016 – 2020 роки</t>
  </si>
  <si>
    <t>на підвищення кваліфікації (рівня освіти) окремих працівників закладів охорони здоров’я та органів управління відповідної галузі</t>
  </si>
  <si>
    <t>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</si>
  <si>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на капітальні видатки  та облаштування об’єктів соціально- культурної сфери</t>
  </si>
  <si>
    <t>на утримання об’єктів спільного користування чи ліквідацію негативних наслідків діяльності об’єктів спільного користування</t>
  </si>
  <si>
    <t>Обласному бюджету на придбання медикаментів, реагентів та витратних матеріалів для КЗ „Міжобласний центр медичної генетики і пренатальної діагностики імені П.М. Веропотвеляна” ДОР</t>
  </si>
  <si>
    <t>на відшкодування витрат за житлово-комунальні послуги та за тимчасове проживання внутрішньо переміщених осіб (вимушених переселенців) у м. Дніпрі</t>
  </si>
  <si>
    <t>на виконання Програми виконання доручень виборців депутатами Дніпровської міської ради VII скликання
на 2016 – 2020 роки</t>
  </si>
  <si>
    <t>С. ОЛІЙНИК</t>
  </si>
  <si>
    <t>на придбання предметів та матеріалів для ДПТНЗ "Марганецький професійний ліцей"</t>
  </si>
  <si>
    <t>КПКВК 0619330</t>
  </si>
  <si>
    <t>Обласному бюджету на утримання Криворізької філії КЗ "Дніпропетровська обласна клінічна офтальмологічна лікарня"</t>
  </si>
  <si>
    <t>045360000000</t>
  </si>
  <si>
    <t>Верхньодніпровська міська рада</t>
  </si>
  <si>
    <t>КФКД 41054100</t>
  </si>
  <si>
    <t>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</si>
  <si>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Любимівська сільська рада</t>
  </si>
  <si>
    <t>Саксаганська сільська рада</t>
  </si>
  <si>
    <t>04553000000</t>
  </si>
  <si>
    <t>04555000000</t>
  </si>
  <si>
    <t>КПКВК 0619350</t>
  </si>
  <si>
    <t xml:space="preserve">  З НИХ       </t>
  </si>
  <si>
    <t>на придбання дидактичного матеріалу</t>
  </si>
  <si>
    <t>на придбання сучасних меблів для початкових класів</t>
  </si>
  <si>
    <t>на придбання комп'ютерного обладнання, відповідного мультимедійного контенту для початкових класів</t>
  </si>
  <si>
    <t xml:space="preserve">  З НИХ </t>
  </si>
  <si>
    <t>підтримка осіб з особливими освітніми потребами</t>
  </si>
  <si>
    <t>оснащення кабінетів інклюзивно- ресурсних центрів</t>
  </si>
  <si>
    <t>на розвиток дорожнього господарства</t>
  </si>
  <si>
    <t xml:space="preserve"> на надання державної підтримки особам з особливими освітніми потребами</t>
  </si>
  <si>
    <t xml:space="preserve"> на забезпечення якісної, сучасної та доступної загальної середньої освіти "Нова українська школа" </t>
  </si>
  <si>
    <t>Субвенція  за рахунок залишку коштів освітньої субвенції, що утворився на початок бюджетного періоду</t>
  </si>
  <si>
    <t>КПКВК 0819241</t>
  </si>
  <si>
    <t>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</si>
  <si>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підвищення кваліфікації педагогічних працівників</t>
  </si>
  <si>
    <t>КПКВК  1219770</t>
  </si>
  <si>
    <t>КПКВК 2919800</t>
  </si>
  <si>
    <t>на реалізацію заходів Регіональної цільової соціальтної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2016-2020 роки</t>
  </si>
  <si>
    <t>на соціально-економічний розвиток</t>
  </si>
  <si>
    <t>КПКВК 2919770</t>
  </si>
  <si>
    <t xml:space="preserve">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t>
  </si>
  <si>
    <t>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</si>
  <si>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КПКВК 0819243</t>
  </si>
  <si>
    <t xml:space="preserve">Обсяги міжбюджетних трансфертів, що передаються з обласного бюджету до державного бюджету </t>
  </si>
  <si>
    <t>КПКВК 3719510</t>
  </si>
  <si>
    <t xml:space="preserve">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</si>
  <si>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</si>
  <si>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 xml:space="preserve">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</si>
  <si>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 </t>
  </si>
  <si>
    <t xml:space="preserve">на проведення виборів депутатів місцевих рад та сільських, селищних, міських голів за рахунок відповідної субвенції з державного бюджету </t>
  </si>
  <si>
    <t xml:space="preserve">на здійснення заходів щодо соціально-економічного розвитку окремих територій за рахунок відповідної субвенції з державного бюджету </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</si>
  <si>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</si>
  <si>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за рахунок субвенції з державного бюджету місцевим бюджетам на здійснення заходів щодо соціально-економічного розвитку окремих територій </t>
  </si>
  <si>
    <t>на капітальний ремонт об'єктів соціально-культурної сфери</t>
  </si>
  <si>
    <t>на відшкодування вартості лікарських засобів для лікування окремих захворювань за рахунок відповідної субвенції з державного бюджету</t>
  </si>
  <si>
    <t>623600-</t>
  </si>
  <si>
    <t>1064200-Рябова (98000+623600+225600+117000)</t>
  </si>
  <si>
    <t>Обласному бюджету на поточний ремонт санітарних автомобілів КЗ "Криворізька станція швидкої медичної допомоги"ДОР"</t>
  </si>
  <si>
    <t>КПКВК 0819242</t>
  </si>
  <si>
    <t>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</si>
  <si>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КФКД 41052300</t>
  </si>
  <si>
    <t>на здійснення заходів щодо соціально-економічного розвитку окремих територій за рахунок відповідної субвенції з державного бюджету</t>
  </si>
  <si>
    <t>КФКД 41053600</t>
  </si>
  <si>
    <t>на здійснення природоохоронних заходів</t>
  </si>
  <si>
    <t>Обласному бюджету на поточний ремонт санітарних автомобілів КЗ "Обласний центр екстреної медичної допомоги та медицини катастроф"ДОР"</t>
  </si>
  <si>
    <t>КПКВК  1519770</t>
  </si>
  <si>
    <t>Аулівська селищна рада</t>
  </si>
  <si>
    <t>Іларіонівська селищна рада</t>
  </si>
  <si>
    <t xml:space="preserve">         Додаток 4</t>
  </si>
  <si>
    <t>КПКВК 0719490</t>
  </si>
  <si>
    <t>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</si>
  <si>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 підготовку і проведення додаткових виборів депутатів сільських, селищних рад</t>
  </si>
  <si>
    <t xml:space="preserve">на виготовлення органами ведення Державного реєстру виборців списків виборців та іменних запрошень для підготовки і проведення додаткових виборів депутатів сільських, селищних рад </t>
  </si>
  <si>
    <t>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</si>
  <si>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04558000000</t>
  </si>
  <si>
    <t>Перещепинська міська рада</t>
  </si>
  <si>
    <t>Показники міжбюджетних трансфертів між обласним бюджетом та іншими бюджетами на 2018 рік</t>
  </si>
  <si>
    <t xml:space="preserve">                                                                               до рішення голови обласної ради від 19.10.2018р.№371-14/VII</t>
  </si>
  <si>
    <t>КПКВК 3719410</t>
  </si>
  <si>
    <t>на здійснення переданих видатків у сфері охорони здоровя за рахунок коштів медичної субвенції</t>
  </si>
  <si>
    <t>"Павлоградська станція екстреної медичної допомоги - відокремлений підрозділ КЗ "Обласний центр екстреної медичної допомоги" ДОР" на придбання шин для службових автомобілів</t>
  </si>
  <si>
    <t>Перший заступник</t>
  </si>
  <si>
    <t xml:space="preserve"> голови обласної ради </t>
  </si>
  <si>
    <t xml:space="preserve"> на проведення заходів по забезпеченню екстреної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 </t>
  </si>
  <si>
    <t xml:space="preserve">на придбання предметів та матеріалів для КЗ "Обласний центр екстреної медичної допомоги та медицини катастроф" Дніпропетровської обласної ради" </t>
  </si>
  <si>
    <t>Зміни до показників міжбюджетних трансфертів між обласним бюджетом та іншими бюджетами на 2018 рік</t>
  </si>
  <si>
    <t xml:space="preserve"> З НИХ </t>
  </si>
  <si>
    <t>КПКВК 0619310</t>
  </si>
  <si>
    <t xml:space="preserve"> З НИХ              </t>
  </si>
  <si>
    <t>оплату праці з нарахуваннями педагогічних працівників (видатки споживання)</t>
  </si>
  <si>
    <t>придбання обладнання для оснащення ресурсних кімнат (видатки розвитку)</t>
  </si>
  <si>
    <t xml:space="preserve"> на здійснення переданих видатків у сфері освіти за рахунок коштів освітньої субвенції </t>
  </si>
  <si>
    <t>КПКВК 3719120</t>
  </si>
  <si>
    <t>Стабілізаційна дотація</t>
  </si>
  <si>
    <t>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І – 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</si>
  <si>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</si>
  <si>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 – 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</si>
  <si>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 на забезпечення якісної, сучасної та доступної загальної середньої освіти „Нова українська школа” </t>
  </si>
  <si>
    <t>на капітальний ремонт об’єктів соціально-культурної сфери</t>
  </si>
  <si>
    <t xml:space="preserve">                                                 С. ОЛІЙНИК</t>
  </si>
  <si>
    <t xml:space="preserve">голови обласної ради </t>
  </si>
  <si>
    <t xml:space="preserve">    до розпорядження голови обласної ради</t>
  </si>
  <si>
    <t xml:space="preserve">                                Додаток 4</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</si>
</sst>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amily val="2"/>
      <charset val="204"/>
    </font>
    <font>
      <sz val="10"/>
      <name val="Arial Cyr"/>
      <family val="2"/>
      <charset val="204"/>
    </font>
    <font>
      <sz val="56"/>
      <name val="Arial Cyr"/>
      <family val="2"/>
      <charset val="204"/>
    </font>
    <font>
      <sz val="50"/>
      <name val="Times New Roman"/>
      <family val="1"/>
      <charset val="204"/>
    </font>
    <font>
      <sz val="22"/>
      <name val="Times New Roman"/>
      <family val="1"/>
      <charset val="204"/>
    </font>
    <font>
      <b/>
      <sz val="48"/>
      <name val="Times New Roman"/>
      <family val="1"/>
      <charset val="204"/>
    </font>
    <font>
      <sz val="56"/>
      <name val="Times New Roman"/>
      <family val="1"/>
      <charset val="204"/>
    </font>
    <font>
      <sz val="26"/>
      <name val="Times New Roman"/>
      <family val="1"/>
      <charset val="204"/>
    </font>
    <font>
      <sz val="44"/>
      <name val="Times New Roman"/>
      <family val="1"/>
      <charset val="204"/>
    </font>
    <font>
      <sz val="42"/>
      <name val="Times New Roman"/>
      <family val="1"/>
      <charset val="204"/>
    </font>
    <font>
      <sz val="11"/>
      <name val="Arial Cyr"/>
      <family val="2"/>
      <charset val="204"/>
    </font>
    <font>
      <i/>
      <sz val="44"/>
      <name val="Times New Roman"/>
      <family val="1"/>
      <charset val="204"/>
    </font>
    <font>
      <sz val="46"/>
      <name val="Times New Roman"/>
      <family val="1"/>
      <charset val="204"/>
    </font>
    <font>
      <sz val="46"/>
      <name val="Times New Roman Cyr"/>
      <family val="1"/>
      <charset val="204"/>
    </font>
    <font>
      <b/>
      <sz val="10"/>
      <name val="Arial Cyr"/>
      <family val="2"/>
      <charset val="204"/>
    </font>
    <font>
      <sz val="28"/>
      <name val="Times New Roman"/>
      <family val="1"/>
      <charset val="204"/>
    </font>
    <font>
      <sz val="40"/>
      <name val="Bookman Old Style"/>
      <family val="1"/>
      <charset val="204"/>
    </font>
    <font>
      <sz val="40"/>
      <name val="Arial Cyr"/>
      <family val="2"/>
      <charset val="204"/>
    </font>
    <font>
      <sz val="20"/>
      <name val="Arial Cyr"/>
      <family val="2"/>
      <charset val="204"/>
    </font>
    <font>
      <sz val="10"/>
      <name val="Arial"/>
      <family val="2"/>
      <charset val="204"/>
    </font>
    <font>
      <b/>
      <sz val="52"/>
      <name val="Times New Roman"/>
      <family val="1"/>
      <charset val="204"/>
    </font>
    <font>
      <sz val="50"/>
      <name val="Arial Cyr"/>
      <family val="2"/>
      <charset val="204"/>
    </font>
    <font>
      <sz val="52"/>
      <name val="Times New Roman"/>
      <family val="1"/>
      <charset val="204"/>
    </font>
    <font>
      <b/>
      <sz val="65"/>
      <name val="Times New Roman"/>
      <family val="1"/>
      <charset val="204"/>
    </font>
    <font>
      <sz val="40"/>
      <name val="Times New Roman"/>
      <family val="1"/>
      <charset val="204"/>
    </font>
    <font>
      <i/>
      <sz val="40"/>
      <name val="Times New Roman"/>
      <family val="1"/>
      <charset val="204"/>
    </font>
    <font>
      <i/>
      <sz val="40"/>
      <name val="Arial Cyr"/>
      <family val="2"/>
      <charset val="204"/>
    </font>
    <font>
      <sz val="39"/>
      <name val="Times New Roman"/>
      <family val="1"/>
      <charset val="204"/>
    </font>
    <font>
      <sz val="18"/>
      <name val="Times New Roman"/>
      <family val="1"/>
      <charset val="204"/>
    </font>
    <font>
      <sz val="14"/>
      <name val="Times New Roman"/>
      <family val="1"/>
      <charset val="204"/>
    </font>
    <font>
      <sz val="36"/>
      <name val="Times New Roman"/>
      <family val="1"/>
      <charset val="204"/>
    </font>
    <font>
      <i/>
      <sz val="36"/>
      <name val="Times New Roman"/>
      <family val="1"/>
      <charset val="204"/>
    </font>
    <font>
      <sz val="36"/>
      <name val="Arial Cyr"/>
      <family val="2"/>
      <charset val="204"/>
    </font>
    <font>
      <i/>
      <sz val="38"/>
      <name val="Times New Roman"/>
      <family val="1"/>
      <charset val="204"/>
    </font>
    <font>
      <sz val="38"/>
      <name val="Times New Roman"/>
      <family val="1"/>
      <charset val="204"/>
    </font>
    <font>
      <sz val="42"/>
      <name val="Arial Cyr"/>
      <family val="2"/>
      <charset val="204"/>
    </font>
    <font>
      <sz val="32"/>
      <name val="Times New Roman"/>
      <family val="1"/>
      <charset val="204"/>
    </font>
    <font>
      <i/>
      <sz val="35"/>
      <name val="Times New Roman"/>
      <family val="1"/>
      <charset val="204"/>
    </font>
    <font>
      <i/>
      <sz val="36"/>
      <color indexed="10"/>
      <name val="Times New Roman"/>
      <family val="1"/>
      <charset val="204"/>
    </font>
    <font>
      <sz val="10"/>
      <color indexed="8"/>
      <name val="Arial"/>
      <family val="2"/>
      <charset val="204"/>
    </font>
    <font>
      <b/>
      <u/>
      <sz val="48"/>
      <name val="Times New Roman"/>
      <family val="1"/>
      <charset val="204"/>
    </font>
    <font>
      <i/>
      <sz val="42"/>
      <name val="Times New Roman"/>
      <family val="1"/>
      <charset val="204"/>
    </font>
    <font>
      <i/>
      <sz val="39"/>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6" tint="-0.249977111117893"/>
        <bgColor indexed="64"/>
      </patternFill>
    </fill>
    <fill>
      <patternFill patternType="solid">
        <fgColor theme="3" tint="0.59999389629810485"/>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8"/>
      </left>
      <right style="thin">
        <color indexed="8"/>
      </right>
      <top style="hair">
        <color indexed="8"/>
      </top>
      <bottom style="hair">
        <color indexed="8"/>
      </bottom>
      <diagonal/>
    </border>
    <border>
      <left style="thin">
        <color indexed="64"/>
      </left>
      <right/>
      <top/>
      <bottom style="thin">
        <color indexed="64"/>
      </bottom>
      <diagonal/>
    </border>
    <border>
      <left/>
      <right/>
      <top style="thin">
        <color indexed="64"/>
      </top>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8"/>
      </right>
      <top style="thin">
        <color indexed="64"/>
      </top>
      <bottom style="thin">
        <color indexed="64"/>
      </bottom>
      <diagonal/>
    </border>
  </borders>
  <cellStyleXfs count="5">
    <xf numFmtId="0" fontId="0" fillId="0" borderId="0"/>
    <xf numFmtId="0" fontId="19" fillId="0" borderId="0"/>
    <xf numFmtId="0" fontId="39" fillId="0" borderId="0">
      <alignment vertical="top"/>
    </xf>
    <xf numFmtId="0" fontId="19" fillId="0" borderId="0"/>
    <xf numFmtId="0" fontId="19" fillId="0" borderId="0"/>
  </cellStyleXfs>
  <cellXfs count="236">
    <xf numFmtId="0" fontId="0" fillId="0" borderId="0" xfId="0"/>
    <xf numFmtId="0" fontId="2" fillId="0" borderId="0" xfId="0" applyFont="1" applyFill="1"/>
    <xf numFmtId="0" fontId="1" fillId="0" borderId="0" xfId="0" applyFont="1" applyFill="1"/>
    <xf numFmtId="0" fontId="21" fillId="0" borderId="0" xfId="0" applyFont="1" applyFill="1"/>
    <xf numFmtId="0" fontId="1" fillId="0" borderId="0" xfId="0" applyFont="1" applyFill="1" applyAlignment="1"/>
    <xf numFmtId="0" fontId="4" fillId="0" borderId="0" xfId="0" applyFont="1" applyFill="1" applyAlignment="1">
      <alignment wrapText="1"/>
    </xf>
    <xf numFmtId="0" fontId="2"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right"/>
    </xf>
    <xf numFmtId="0" fontId="7" fillId="0" borderId="0" xfId="0" applyFont="1" applyFill="1" applyAlignment="1">
      <alignment horizontal="right"/>
    </xf>
    <xf numFmtId="0" fontId="10" fillId="0" borderId="1" xfId="0" applyFont="1" applyFill="1" applyBorder="1"/>
    <xf numFmtId="0" fontId="11" fillId="0" borderId="2" xfId="0" applyFont="1" applyFill="1" applyBorder="1" applyAlignment="1">
      <alignment horizontal="center" vertical="center" wrapText="1"/>
    </xf>
    <xf numFmtId="49" fontId="8" fillId="0" borderId="3" xfId="0" applyNumberFormat="1" applyFont="1" applyFill="1" applyBorder="1" applyAlignment="1">
      <alignment horizontal="center"/>
    </xf>
    <xf numFmtId="0" fontId="8" fillId="0" borderId="4" xfId="0" applyFont="1" applyFill="1" applyBorder="1" applyAlignment="1">
      <alignment vertical="center" wrapText="1"/>
    </xf>
    <xf numFmtId="0" fontId="1" fillId="0" borderId="1" xfId="0" applyFont="1" applyFill="1" applyBorder="1"/>
    <xf numFmtId="0" fontId="14" fillId="0" borderId="1" xfId="0" applyFont="1" applyFill="1" applyBorder="1"/>
    <xf numFmtId="0" fontId="8" fillId="0" borderId="0" xfId="0" applyFont="1" applyFill="1" applyBorder="1" applyAlignment="1">
      <alignment horizontal="center"/>
    </xf>
    <xf numFmtId="0" fontId="9" fillId="0" borderId="0" xfId="0"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0" fontId="14" fillId="0" borderId="0" xfId="0" applyFont="1" applyFill="1" applyBorder="1"/>
    <xf numFmtId="0" fontId="16" fillId="0" borderId="0" xfId="0" applyFont="1" applyFill="1"/>
    <xf numFmtId="3" fontId="15" fillId="0" borderId="0" xfId="0" applyNumberFormat="1" applyFont="1" applyFill="1" applyBorder="1" applyAlignment="1">
      <alignment horizontal="right"/>
    </xf>
    <xf numFmtId="0" fontId="17" fillId="0" borderId="0" xfId="0" applyFont="1" applyFill="1"/>
    <xf numFmtId="0" fontId="18" fillId="0" borderId="0" xfId="0" applyFont="1" applyFill="1"/>
    <xf numFmtId="3" fontId="1" fillId="0" borderId="0" xfId="0" applyNumberFormat="1" applyFont="1" applyFill="1"/>
    <xf numFmtId="0" fontId="1" fillId="0" borderId="0" xfId="0" applyFont="1" applyFill="1" applyBorder="1"/>
    <xf numFmtId="3" fontId="23" fillId="0" borderId="0" xfId="0" applyNumberFormat="1" applyFont="1" applyFill="1" applyBorder="1" applyAlignment="1">
      <alignment wrapText="1"/>
    </xf>
    <xf numFmtId="4" fontId="12" fillId="0" borderId="2" xfId="0" applyNumberFormat="1" applyFont="1" applyFill="1" applyBorder="1" applyAlignment="1">
      <alignment horizontal="right" vertical="center"/>
    </xf>
    <xf numFmtId="4" fontId="12" fillId="0" borderId="5" xfId="0" applyNumberFormat="1" applyFont="1" applyFill="1" applyBorder="1" applyAlignment="1">
      <alignment vertical="center"/>
    </xf>
    <xf numFmtId="4" fontId="12" fillId="0" borderId="5" xfId="0" applyNumberFormat="1" applyFont="1" applyFill="1" applyBorder="1" applyAlignment="1">
      <alignment horizontal="right" vertical="center"/>
    </xf>
    <xf numFmtId="4" fontId="20" fillId="0" borderId="0" xfId="0" applyNumberFormat="1" applyFont="1" applyFill="1" applyAlignment="1"/>
    <xf numFmtId="0" fontId="18" fillId="0" borderId="0" xfId="0" applyFont="1" applyFill="1" applyBorder="1"/>
    <xf numFmtId="3" fontId="1" fillId="0" borderId="0" xfId="0" applyNumberFormat="1" applyFont="1" applyFill="1" applyBorder="1"/>
    <xf numFmtId="4" fontId="12" fillId="0" borderId="0" xfId="0" applyNumberFormat="1" applyFont="1" applyFill="1" applyBorder="1" applyAlignment="1">
      <alignment vertical="center"/>
    </xf>
    <xf numFmtId="0" fontId="22" fillId="0" borderId="0" xfId="0" applyNumberFormat="1" applyFont="1" applyFill="1" applyAlignment="1" applyProtection="1">
      <alignment vertical="center" wrapText="1"/>
    </xf>
    <xf numFmtId="0" fontId="10" fillId="0" borderId="6" xfId="0" applyFont="1" applyFill="1" applyBorder="1"/>
    <xf numFmtId="0" fontId="10" fillId="0" borderId="2" xfId="0" applyFont="1" applyFill="1" applyBorder="1"/>
    <xf numFmtId="4" fontId="20" fillId="0" borderId="0" xfId="0" applyNumberFormat="1" applyFont="1" applyFill="1" applyAlignment="1">
      <alignment horizontal="center"/>
    </xf>
    <xf numFmtId="4" fontId="13" fillId="0" borderId="5" xfId="0" applyNumberFormat="1" applyFont="1" applyFill="1" applyBorder="1" applyAlignment="1">
      <alignment vertical="center"/>
    </xf>
    <xf numFmtId="4" fontId="22" fillId="0" borderId="0" xfId="0" applyNumberFormat="1" applyFont="1" applyFill="1" applyAlignment="1">
      <alignment horizontal="right"/>
    </xf>
    <xf numFmtId="0" fontId="22" fillId="0" borderId="0" xfId="0" applyFont="1" applyFill="1" applyAlignment="1">
      <alignment horizontal="right" wrapText="1"/>
    </xf>
    <xf numFmtId="0" fontId="17" fillId="0" borderId="2" xfId="0" applyFont="1" applyFill="1" applyBorder="1"/>
    <xf numFmtId="0" fontId="17" fillId="0" borderId="6" xfId="0" applyFont="1" applyFill="1" applyBorder="1"/>
    <xf numFmtId="0" fontId="17" fillId="0" borderId="1" xfId="0" applyFont="1" applyFill="1" applyBorder="1"/>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 fillId="0" borderId="0" xfId="0" applyFont="1" applyFill="1" applyBorder="1"/>
    <xf numFmtId="4" fontId="22" fillId="0" borderId="9" xfId="0" applyNumberFormat="1" applyFont="1" applyFill="1" applyBorder="1" applyAlignment="1">
      <alignment horizontal="right"/>
    </xf>
    <xf numFmtId="0" fontId="6" fillId="0" borderId="0" xfId="0" applyFont="1" applyFill="1" applyBorder="1" applyAlignment="1">
      <alignment horizontal="right"/>
    </xf>
    <xf numFmtId="0" fontId="6" fillId="0" borderId="9" xfId="0" applyFont="1" applyFill="1" applyBorder="1" applyAlignment="1">
      <alignment horizontal="right"/>
    </xf>
    <xf numFmtId="0" fontId="22" fillId="0" borderId="0" xfId="0" applyNumberFormat="1" applyFont="1" applyFill="1" applyBorder="1" applyAlignment="1" applyProtection="1">
      <alignment vertical="center" wrapText="1"/>
    </xf>
    <xf numFmtId="4" fontId="20" fillId="0" borderId="10" xfId="0" applyNumberFormat="1" applyFont="1" applyFill="1" applyBorder="1" applyAlignment="1"/>
    <xf numFmtId="4" fontId="20" fillId="0" borderId="0" xfId="0" applyNumberFormat="1" applyFont="1" applyFill="1" applyBorder="1" applyAlignment="1"/>
    <xf numFmtId="0" fontId="23" fillId="0" borderId="0" xfId="0" applyFont="1" applyFill="1" applyBorder="1" applyAlignment="1">
      <alignment vertical="center"/>
    </xf>
    <xf numFmtId="0" fontId="23" fillId="0" borderId="0" xfId="0" applyFont="1" applyFill="1"/>
    <xf numFmtId="4" fontId="22" fillId="0" borderId="0" xfId="0" applyNumberFormat="1" applyFont="1" applyFill="1" applyBorder="1" applyAlignment="1">
      <alignment horizontal="right"/>
    </xf>
    <xf numFmtId="2" fontId="11" fillId="0" borderId="7" xfId="0" applyNumberFormat="1" applyFont="1" applyFill="1" applyBorder="1" applyAlignment="1">
      <alignment horizontal="center" vertical="center"/>
    </xf>
    <xf numFmtId="0" fontId="28" fillId="0" borderId="0" xfId="0" applyFont="1" applyFill="1" applyBorder="1"/>
    <xf numFmtId="4" fontId="29" fillId="0" borderId="11" xfId="0" applyNumberFormat="1" applyFont="1" applyFill="1" applyBorder="1" applyAlignment="1">
      <alignment horizontal="right" vertical="top" wrapText="1"/>
    </xf>
    <xf numFmtId="0" fontId="30" fillId="0" borderId="2" xfId="0" applyFont="1" applyFill="1" applyBorder="1" applyAlignment="1">
      <alignment vertical="center" wrapText="1"/>
    </xf>
    <xf numFmtId="0" fontId="30" fillId="0" borderId="8" xfId="0" applyFont="1" applyFill="1" applyBorder="1" applyAlignment="1">
      <alignment vertical="center" wrapText="1"/>
    </xf>
    <xf numFmtId="0" fontId="32" fillId="0" borderId="2" xfId="0" applyFont="1" applyFill="1" applyBorder="1"/>
    <xf numFmtId="0" fontId="32" fillId="0" borderId="6" xfId="0" applyFont="1" applyFill="1" applyBorder="1"/>
    <xf numFmtId="0" fontId="32" fillId="0" borderId="1" xfId="0" applyFont="1" applyFill="1" applyBorder="1"/>
    <xf numFmtId="0" fontId="9" fillId="0" borderId="7" xfId="0" applyFont="1" applyFill="1" applyBorder="1" applyAlignment="1">
      <alignment vertical="center" wrapText="1"/>
    </xf>
    <xf numFmtId="0" fontId="35" fillId="0" borderId="6" xfId="0" applyFont="1" applyFill="1" applyBorder="1"/>
    <xf numFmtId="0" fontId="35" fillId="0" borderId="1" xfId="0" applyFont="1" applyFill="1" applyBorder="1"/>
    <xf numFmtId="0" fontId="8" fillId="0" borderId="12" xfId="0" applyFont="1" applyFill="1" applyBorder="1" applyAlignment="1">
      <alignment horizontal="center" vertical="center" wrapText="1"/>
    </xf>
    <xf numFmtId="4" fontId="12" fillId="0" borderId="2" xfId="0" applyNumberFormat="1" applyFont="1" applyFill="1" applyBorder="1" applyAlignment="1">
      <alignment vertical="center"/>
    </xf>
    <xf numFmtId="4" fontId="13" fillId="0" borderId="2" xfId="0" applyNumberFormat="1" applyFont="1" applyFill="1" applyBorder="1" applyAlignment="1">
      <alignment vertical="center"/>
    </xf>
    <xf numFmtId="0" fontId="10" fillId="0" borderId="4" xfId="0" applyFont="1" applyFill="1" applyBorder="1"/>
    <xf numFmtId="3" fontId="23" fillId="0" borderId="13" xfId="0" applyNumberFormat="1" applyFont="1" applyFill="1" applyBorder="1" applyAlignment="1">
      <alignment wrapText="1"/>
    </xf>
    <xf numFmtId="0" fontId="10" fillId="0" borderId="14" xfId="0" applyFont="1" applyFill="1" applyBorder="1"/>
    <xf numFmtId="0" fontId="36" fillId="0" borderId="2" xfId="0" applyFont="1" applyFill="1" applyBorder="1" applyAlignment="1">
      <alignment horizontal="center" vertical="center" wrapText="1"/>
    </xf>
    <xf numFmtId="3" fontId="23" fillId="0" borderId="0" xfId="0" applyNumberFormat="1" applyFont="1" applyFill="1" applyBorder="1" applyAlignment="1">
      <alignment horizontal="left" wrapText="1"/>
    </xf>
    <xf numFmtId="0" fontId="3" fillId="0" borderId="0" xfId="0" applyFont="1" applyFill="1" applyBorder="1" applyAlignment="1">
      <alignment horizontal="right"/>
    </xf>
    <xf numFmtId="2" fontId="11" fillId="0" borderId="2" xfId="0" applyNumberFormat="1" applyFont="1" applyFill="1" applyBorder="1" applyAlignment="1">
      <alignment horizontal="center" vertical="center"/>
    </xf>
    <xf numFmtId="3" fontId="23" fillId="0" borderId="13" xfId="0" applyNumberFormat="1" applyFont="1" applyFill="1" applyBorder="1" applyAlignment="1">
      <alignment horizontal="left" wrapText="1"/>
    </xf>
    <xf numFmtId="0" fontId="22" fillId="0" borderId="0" xfId="0" applyFont="1" applyFill="1" applyAlignment="1">
      <alignment horizontal="right"/>
    </xf>
    <xf numFmtId="0" fontId="38" fillId="0" borderId="2" xfId="0" applyFont="1" applyFill="1" applyBorder="1" applyAlignment="1">
      <alignment vertical="center" wrapText="1"/>
    </xf>
    <xf numFmtId="0" fontId="6" fillId="0" borderId="10" xfId="0" applyFont="1" applyFill="1" applyBorder="1" applyAlignment="1">
      <alignment horizontal="right"/>
    </xf>
    <xf numFmtId="0" fontId="7" fillId="0" borderId="0" xfId="0" applyFont="1" applyFill="1" applyBorder="1" applyAlignment="1">
      <alignment horizontal="right"/>
    </xf>
    <xf numFmtId="0" fontId="31" fillId="0" borderId="15" xfId="0" applyFont="1" applyFill="1" applyBorder="1" applyAlignment="1">
      <alignment horizontal="center"/>
    </xf>
    <xf numFmtId="3" fontId="23" fillId="0" borderId="13" xfId="0" applyNumberFormat="1" applyFont="1" applyFill="1" applyBorder="1" applyAlignment="1">
      <alignment horizontal="center" wrapText="1"/>
    </xf>
    <xf numFmtId="3" fontId="23" fillId="0" borderId="0" xfId="0" applyNumberFormat="1" applyFont="1" applyFill="1" applyBorder="1" applyAlignment="1">
      <alignment horizontal="center" wrapText="1"/>
    </xf>
    <xf numFmtId="4" fontId="40" fillId="0" borderId="2" xfId="2" applyNumberFormat="1" applyFont="1" applyFill="1" applyBorder="1" applyAlignment="1">
      <alignment vertical="center"/>
    </xf>
    <xf numFmtId="0" fontId="31"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2" fillId="0" borderId="0" xfId="0" applyFont="1" applyFill="1" applyAlignment="1">
      <alignment wrapText="1"/>
    </xf>
    <xf numFmtId="4" fontId="12" fillId="2" borderId="2" xfId="0" applyNumberFormat="1" applyFont="1" applyFill="1" applyBorder="1" applyAlignment="1">
      <alignment vertical="center"/>
    </xf>
    <xf numFmtId="4" fontId="12" fillId="2" borderId="2" xfId="0" applyNumberFormat="1" applyFont="1" applyFill="1" applyBorder="1" applyAlignment="1">
      <alignment horizontal="right" vertical="center"/>
    </xf>
    <xf numFmtId="4" fontId="12" fillId="2" borderId="5" xfId="0" applyNumberFormat="1" applyFont="1" applyFill="1" applyBorder="1" applyAlignment="1">
      <alignment vertical="center"/>
    </xf>
    <xf numFmtId="4" fontId="22" fillId="0" borderId="0" xfId="0" applyNumberFormat="1" applyFont="1" applyFill="1" applyBorder="1" applyAlignment="1">
      <alignment horizontal="left"/>
    </xf>
    <xf numFmtId="4" fontId="12" fillId="3" borderId="2" xfId="0" applyNumberFormat="1" applyFont="1" applyFill="1" applyBorder="1" applyAlignment="1">
      <alignment vertical="center"/>
    </xf>
    <xf numFmtId="4" fontId="12" fillId="3" borderId="5" xfId="0" applyNumberFormat="1" applyFont="1" applyFill="1" applyBorder="1" applyAlignment="1">
      <alignment vertical="center"/>
    </xf>
    <xf numFmtId="2" fontId="11" fillId="0" borderId="16" xfId="0" applyNumberFormat="1" applyFont="1" applyFill="1" applyBorder="1" applyAlignment="1">
      <alignment vertical="center"/>
    </xf>
    <xf numFmtId="4" fontId="12" fillId="4" borderId="5" xfId="0" applyNumberFormat="1" applyFont="1" applyFill="1" applyBorder="1" applyAlignment="1">
      <alignment horizontal="right" vertical="center"/>
    </xf>
    <xf numFmtId="4" fontId="12" fillId="4" borderId="2" xfId="0" applyNumberFormat="1" applyFont="1" applyFill="1" applyBorder="1" applyAlignment="1">
      <alignment horizontal="right" vertical="center"/>
    </xf>
    <xf numFmtId="4" fontId="12" fillId="4" borderId="2" xfId="0"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4" fontId="12" fillId="5" borderId="5" xfId="0" applyNumberFormat="1" applyFont="1" applyFill="1" applyBorder="1" applyAlignment="1">
      <alignment vertical="center"/>
    </xf>
    <xf numFmtId="4" fontId="12" fillId="5" borderId="2" xfId="0" applyNumberFormat="1" applyFont="1" applyFill="1" applyBorder="1" applyAlignment="1">
      <alignment vertical="center"/>
    </xf>
    <xf numFmtId="4" fontId="12" fillId="5" borderId="5" xfId="0" applyNumberFormat="1" applyFont="1" applyFill="1" applyBorder="1" applyAlignment="1">
      <alignment horizontal="right" vertical="center"/>
    </xf>
    <xf numFmtId="0" fontId="9"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4" fontId="12" fillId="6" borderId="5" xfId="0" applyNumberFormat="1" applyFont="1" applyFill="1" applyBorder="1" applyAlignment="1">
      <alignment vertical="center"/>
    </xf>
    <xf numFmtId="4" fontId="12" fillId="7" borderId="5" xfId="0" applyNumberFormat="1" applyFont="1" applyFill="1" applyBorder="1" applyAlignment="1">
      <alignment vertical="center"/>
    </xf>
    <xf numFmtId="4" fontId="12" fillId="7" borderId="2" xfId="0" applyNumberFormat="1" applyFont="1" applyFill="1" applyBorder="1" applyAlignment="1">
      <alignment horizontal="right" vertical="center"/>
    </xf>
    <xf numFmtId="0" fontId="8" fillId="0" borderId="2" xfId="0" applyFont="1" applyFill="1" applyBorder="1" applyAlignment="1">
      <alignment horizontal="center" vertical="center" wrapText="1"/>
    </xf>
    <xf numFmtId="4" fontId="12" fillId="8" borderId="2" xfId="0" applyNumberFormat="1" applyFont="1" applyFill="1" applyBorder="1" applyAlignment="1">
      <alignment vertical="center"/>
    </xf>
    <xf numFmtId="4" fontId="12" fillId="8" borderId="2" xfId="0" applyNumberFormat="1" applyFont="1" applyFill="1" applyBorder="1" applyAlignment="1">
      <alignment horizontal="right" vertical="center"/>
    </xf>
    <xf numFmtId="4" fontId="8" fillId="0" borderId="2" xfId="0" applyNumberFormat="1" applyFont="1" applyFill="1" applyBorder="1" applyAlignment="1">
      <alignment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7" fillId="9" borderId="18"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2" fillId="0" borderId="0" xfId="0" applyFont="1" applyFill="1" applyAlignment="1">
      <alignment horizontal="right" wrapText="1"/>
    </xf>
    <xf numFmtId="4" fontId="22" fillId="0" borderId="0" xfId="0" applyNumberFormat="1" applyFont="1" applyFill="1" applyAlignment="1">
      <alignment horizontal="right"/>
    </xf>
    <xf numFmtId="0" fontId="9" fillId="0" borderId="16" xfId="0" applyFont="1" applyFill="1" applyBorder="1" applyAlignment="1">
      <alignment horizontal="center" vertical="center" wrapText="1"/>
    </xf>
    <xf numFmtId="0" fontId="31" fillId="0" borderId="8" xfId="0" applyFont="1" applyFill="1" applyBorder="1" applyAlignment="1">
      <alignment horizontal="center" vertical="center"/>
    </xf>
    <xf numFmtId="0" fontId="31" fillId="0" borderId="16" xfId="0"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5" xfId="0" applyFont="1" applyFill="1" applyBorder="1" applyAlignment="1">
      <alignment horizontal="center"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horizontal="left"/>
    </xf>
    <xf numFmtId="4" fontId="20" fillId="0" borderId="0" xfId="0" applyNumberFormat="1" applyFont="1" applyFill="1" applyBorder="1" applyAlignment="1">
      <alignment horizontal="center"/>
    </xf>
    <xf numFmtId="4" fontId="22" fillId="0" borderId="0" xfId="0" applyNumberFormat="1" applyFont="1" applyFill="1" applyBorder="1" applyAlignment="1">
      <alignment horizontal="right"/>
    </xf>
    <xf numFmtId="4" fontId="22" fillId="0" borderId="9" xfId="0" applyNumberFormat="1" applyFont="1" applyFill="1" applyBorder="1" applyAlignment="1">
      <alignment horizontal="right"/>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5" xfId="0" applyFont="1" applyFill="1" applyBorder="1" applyAlignment="1">
      <alignment horizontal="center" vertical="center" wrapText="1"/>
    </xf>
    <xf numFmtId="2" fontId="11" fillId="0" borderId="16" xfId="0" applyNumberFormat="1" applyFont="1" applyFill="1" applyBorder="1" applyAlignment="1">
      <alignment horizontal="center" vertical="center"/>
    </xf>
    <xf numFmtId="2" fontId="11" fillId="0" borderId="7" xfId="0" applyNumberFormat="1" applyFont="1" applyFill="1" applyBorder="1" applyAlignment="1">
      <alignment horizontal="center" vertical="center"/>
    </xf>
    <xf numFmtId="2" fontId="11" fillId="0" borderId="8"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1" fillId="0" borderId="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1" xfId="0" applyFont="1" applyFill="1" applyBorder="1" applyAlignment="1">
      <alignment horizontal="center" vertical="center" wrapText="1"/>
    </xf>
    <xf numFmtId="3" fontId="23" fillId="0" borderId="13" xfId="0" applyNumberFormat="1" applyFont="1" applyFill="1" applyBorder="1" applyAlignment="1">
      <alignment horizontal="left" wrapText="1"/>
    </xf>
    <xf numFmtId="3" fontId="23" fillId="0" borderId="0" xfId="0" applyNumberFormat="1" applyFont="1" applyFill="1" applyBorder="1" applyAlignment="1">
      <alignment horizontal="left" wrapText="1"/>
    </xf>
    <xf numFmtId="3" fontId="23" fillId="0" borderId="13" xfId="0" applyNumberFormat="1" applyFont="1" applyFill="1" applyBorder="1" applyAlignment="1">
      <alignment horizontal="center" wrapText="1"/>
    </xf>
    <xf numFmtId="3" fontId="23" fillId="0" borderId="0" xfId="0" applyNumberFormat="1" applyFont="1" applyFill="1" applyBorder="1" applyAlignment="1">
      <alignment horizont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4" fontId="22" fillId="0" borderId="0" xfId="0" applyNumberFormat="1" applyFont="1" applyFill="1" applyAlignment="1">
      <alignment horizontal="left"/>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17" xfId="0" applyFont="1" applyFill="1" applyBorder="1" applyAlignment="1">
      <alignment horizontal="center" vertical="center" wrapText="1"/>
    </xf>
  </cellXfs>
  <cellStyles count="5">
    <cellStyle name="Normal_Доходи" xfId="1"/>
    <cellStyle name="Звичайний_Додаток _ 3 зм_ни 4575" xfId="2"/>
    <cellStyle name="Обычный" xfId="0" builtinId="0"/>
    <cellStyle name="Обычный 2" xfId="3"/>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67"/>
  <sheetViews>
    <sheetView showZeros="0" view="pageBreakPreview" zoomScale="20" zoomScaleNormal="25" zoomScaleSheetLayoutView="20" workbookViewId="0">
      <pane xSplit="2" ySplit="12" topLeftCell="CM100" activePane="bottomRight" state="frozen"/>
      <selection pane="topRight" activeCell="C1" sqref="C1"/>
      <selection pane="bottomLeft" activeCell="A14" sqref="A14"/>
      <selection pane="bottomRight" activeCell="CN114" sqref="CN114:CO114"/>
    </sheetView>
  </sheetViews>
  <sheetFormatPr defaultRowHeight="12.75" x14ac:dyDescent="0.2"/>
  <cols>
    <col min="1" max="1" width="52.28515625" style="2" customWidth="1"/>
    <col min="2" max="2" width="171" style="2" customWidth="1"/>
    <col min="3" max="3" width="115.85546875" style="2" customWidth="1"/>
    <col min="4" max="4" width="63.7109375" style="2" customWidth="1"/>
    <col min="5" max="5" width="80.140625" style="2" customWidth="1"/>
    <col min="6" max="6" width="255.7109375" style="2" customWidth="1"/>
    <col min="7" max="7" width="142.5703125" style="2" customWidth="1"/>
    <col min="8" max="8" width="76.140625" style="2" customWidth="1"/>
    <col min="9" max="10" width="171.42578125" style="2" customWidth="1"/>
    <col min="11" max="11" width="72.140625" style="2" customWidth="1"/>
    <col min="12" max="12" width="77.140625" style="2" customWidth="1"/>
    <col min="13" max="13" width="59.28515625" style="2" customWidth="1"/>
    <col min="14" max="14" width="53.5703125" style="2" customWidth="1"/>
    <col min="15" max="15" width="70" style="2" customWidth="1"/>
    <col min="16" max="16" width="97.85546875" style="2" customWidth="1"/>
    <col min="17" max="17" width="51.42578125" style="2" customWidth="1"/>
    <col min="18" max="18" width="74.28515625" style="2" customWidth="1"/>
    <col min="19" max="19" width="165.7109375" style="2" customWidth="1"/>
    <col min="20" max="20" width="113.5703125" style="2" customWidth="1"/>
    <col min="21" max="21" width="129.28515625" style="2" customWidth="1"/>
    <col min="22" max="22" width="227.85546875" style="2" customWidth="1"/>
    <col min="23" max="23" width="237.140625" style="2" customWidth="1"/>
    <col min="24" max="24" width="228.5703125" style="2" customWidth="1"/>
    <col min="25" max="25" width="233.5703125" style="2" customWidth="1"/>
    <col min="26" max="26" width="84.28515625" style="2" customWidth="1"/>
    <col min="27" max="27" width="197.140625" style="2" customWidth="1"/>
    <col min="28" max="28" width="193.5703125" style="2" customWidth="1"/>
    <col min="29" max="29" width="108.5703125" style="2" customWidth="1"/>
    <col min="30" max="30" width="90.7109375" style="2" customWidth="1"/>
    <col min="31" max="31" width="74.28515625" style="2" customWidth="1"/>
    <col min="32" max="32" width="70" style="2" customWidth="1"/>
    <col min="33" max="33" width="55" style="2" customWidth="1"/>
    <col min="34" max="34" width="65.7109375" style="2" customWidth="1"/>
    <col min="35" max="35" width="50.7109375" style="2" customWidth="1"/>
    <col min="36" max="36" width="62.85546875" style="2" customWidth="1"/>
    <col min="37" max="37" width="55.7109375" style="2" customWidth="1"/>
    <col min="38" max="38" width="61.42578125" style="2" customWidth="1"/>
    <col min="39" max="39" width="88.5703125" style="2" customWidth="1"/>
    <col min="40" max="40" width="81.42578125" style="2" customWidth="1"/>
    <col min="41" max="41" width="78.5703125" style="2" customWidth="1"/>
    <col min="42" max="42" width="102.140625" style="2" customWidth="1"/>
    <col min="43" max="46" width="75.7109375" style="2" customWidth="1"/>
    <col min="47" max="48" width="68.5703125" style="2" customWidth="1"/>
    <col min="49" max="49" width="101.85546875" style="2" customWidth="1"/>
    <col min="50" max="50" width="81.85546875" style="2" customWidth="1"/>
    <col min="51" max="51" width="77.140625" style="2" customWidth="1"/>
    <col min="52" max="52" width="57.28515625" style="2" customWidth="1"/>
    <col min="53" max="53" width="54.7109375" style="2" customWidth="1"/>
    <col min="54" max="54" width="80.42578125" style="2" customWidth="1"/>
    <col min="55" max="55" width="83.28515625" style="2" customWidth="1"/>
    <col min="56" max="56" width="98.28515625" style="2" customWidth="1"/>
    <col min="57" max="57" width="78.5703125" style="2" customWidth="1"/>
    <col min="58" max="58" width="73" style="2" customWidth="1"/>
    <col min="59" max="59" width="75" style="2" customWidth="1"/>
    <col min="60" max="60" width="79.140625" style="2" customWidth="1"/>
    <col min="61" max="61" width="87" style="2" customWidth="1"/>
    <col min="62" max="62" width="67.85546875" style="2" customWidth="1"/>
    <col min="63" max="63" width="65" style="2" customWidth="1"/>
    <col min="64" max="64" width="87.140625" style="2" customWidth="1"/>
    <col min="65" max="65" width="76.42578125" style="2" customWidth="1"/>
    <col min="66" max="66" width="69.28515625" style="2" customWidth="1"/>
    <col min="67" max="67" width="85" style="2" customWidth="1"/>
    <col min="68" max="68" width="88.5703125" style="2" customWidth="1"/>
    <col min="69" max="69" width="131.42578125" style="2" customWidth="1"/>
    <col min="70" max="70" width="72.140625" style="2" customWidth="1"/>
    <col min="71" max="71" width="139.28515625" style="2" customWidth="1"/>
    <col min="72" max="72" width="110" style="2" customWidth="1"/>
    <col min="73" max="75" width="99.28515625" style="2" customWidth="1"/>
    <col min="76" max="76" width="135.7109375" style="2" customWidth="1"/>
    <col min="77" max="77" width="157.5703125" style="2" customWidth="1"/>
    <col min="78" max="78" width="91.85546875" style="2" customWidth="1"/>
    <col min="79" max="79" width="83.28515625" style="2" customWidth="1"/>
    <col min="80" max="80" width="91.85546875" style="2" customWidth="1"/>
    <col min="81" max="81" width="74.140625" style="2" customWidth="1"/>
    <col min="82" max="83" width="72" style="2" customWidth="1"/>
    <col min="84" max="84" width="133.42578125" style="2" customWidth="1"/>
    <col min="85" max="85" width="129.85546875" style="2" customWidth="1"/>
    <col min="86" max="86" width="117.7109375" style="2" customWidth="1"/>
    <col min="87" max="87" width="112" style="2" customWidth="1"/>
    <col min="88" max="88" width="99.140625" style="2" customWidth="1"/>
    <col min="89" max="89" width="91.28515625" style="2" customWidth="1"/>
    <col min="90" max="90" width="98.42578125" style="2" customWidth="1"/>
    <col min="91" max="93" width="86.28515625" style="2" customWidth="1"/>
    <col min="94" max="94" width="115.5703125" style="2" customWidth="1"/>
    <col min="95" max="95" width="86.28515625" style="2" customWidth="1"/>
    <col min="96" max="96" width="85.5703125" style="2" customWidth="1"/>
    <col min="97" max="97" width="93.42578125" style="2" customWidth="1"/>
    <col min="98" max="98" width="56.28515625" style="2" customWidth="1"/>
    <col min="99" max="99" width="67" style="2" customWidth="1"/>
    <col min="100" max="100" width="194.85546875" style="2" customWidth="1"/>
    <col min="101" max="101" width="84.85546875" style="2" customWidth="1"/>
    <col min="102" max="102" width="87" style="2" customWidth="1"/>
    <col min="103" max="16384" width="9.140625" style="2"/>
  </cols>
  <sheetData>
    <row r="1" spans="1:103" ht="55.5" customHeight="1" x14ac:dyDescent="0.95">
      <c r="A1" s="1"/>
      <c r="B1" s="1"/>
      <c r="C1" s="47"/>
      <c r="D1" s="47"/>
      <c r="E1" s="47"/>
      <c r="F1" s="145" t="s">
        <v>331</v>
      </c>
      <c r="G1" s="145"/>
      <c r="H1" s="145"/>
      <c r="I1" s="31"/>
      <c r="J1" s="31"/>
      <c r="K1" s="31"/>
      <c r="L1" s="31"/>
      <c r="M1" s="31"/>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Y1" s="35"/>
      <c r="BE1" s="35"/>
      <c r="BG1" s="3"/>
      <c r="BH1" s="3"/>
      <c r="BI1" s="3"/>
      <c r="BJ1" s="3"/>
      <c r="BK1" s="3"/>
      <c r="BL1" s="3"/>
      <c r="BM1" s="3"/>
      <c r="BN1" s="3"/>
      <c r="BO1" s="3"/>
      <c r="BP1" s="3"/>
      <c r="BQ1" s="3"/>
      <c r="BR1" s="3"/>
      <c r="BS1" s="3"/>
      <c r="BT1" s="3"/>
      <c r="BU1" s="3"/>
      <c r="BV1" s="3"/>
      <c r="BW1" s="3"/>
      <c r="BX1" s="3"/>
    </row>
    <row r="2" spans="1:103" ht="72.75" customHeight="1" x14ac:dyDescent="0.95">
      <c r="A2" s="1"/>
      <c r="B2" s="1"/>
      <c r="C2" s="47"/>
      <c r="D2" s="47"/>
      <c r="E2" s="47"/>
      <c r="F2" s="146" t="s">
        <v>340</v>
      </c>
      <c r="G2" s="146"/>
      <c r="H2" s="146"/>
      <c r="I2" s="26"/>
      <c r="J2" s="26"/>
      <c r="K2" s="26"/>
      <c r="L2" s="26"/>
      <c r="M2" s="51"/>
      <c r="N2" s="51"/>
      <c r="O2" s="51"/>
      <c r="P2" s="51"/>
      <c r="Q2" s="51"/>
      <c r="R2" s="51"/>
      <c r="S2" s="35"/>
      <c r="T2" s="35"/>
      <c r="U2" s="35"/>
      <c r="V2" s="35"/>
      <c r="W2" s="35"/>
      <c r="X2" s="35"/>
      <c r="Y2" s="35"/>
      <c r="Z2" s="35"/>
      <c r="AA2" s="35"/>
      <c r="AB2" s="35"/>
      <c r="AC2" s="35"/>
      <c r="AD2" s="35"/>
      <c r="AE2" s="35"/>
      <c r="AF2" s="35"/>
      <c r="AG2" s="35"/>
      <c r="AH2" s="35"/>
      <c r="AI2" s="35"/>
      <c r="AJ2" s="35"/>
      <c r="AK2" s="35"/>
      <c r="AL2" s="35"/>
      <c r="AM2" s="51"/>
      <c r="AN2" s="51"/>
      <c r="AO2" s="51"/>
      <c r="AP2" s="35"/>
      <c r="AQ2" s="35"/>
      <c r="AR2" s="35"/>
      <c r="AS2" s="35"/>
      <c r="AT2" s="35"/>
      <c r="AU2" s="35"/>
      <c r="AV2" s="35"/>
      <c r="AY2" s="35"/>
      <c r="BE2" s="35"/>
      <c r="BG2" s="3"/>
      <c r="BH2" s="3"/>
      <c r="BI2" s="3"/>
      <c r="BJ2" s="3"/>
      <c r="BK2" s="3"/>
      <c r="BL2" s="3"/>
      <c r="BM2" s="3"/>
      <c r="BN2" s="3"/>
      <c r="BO2" s="3"/>
      <c r="BP2" s="3"/>
      <c r="BQ2" s="3"/>
      <c r="BR2" s="3"/>
      <c r="BS2" s="3"/>
      <c r="BT2" s="3"/>
      <c r="BU2" s="3"/>
      <c r="BV2" s="3"/>
      <c r="BW2" s="3"/>
      <c r="BX2" s="3"/>
    </row>
    <row r="3" spans="1:103" ht="87.75" customHeight="1" x14ac:dyDescent="0.95">
      <c r="A3" s="1"/>
      <c r="B3" s="1"/>
      <c r="C3" s="147" t="s">
        <v>339</v>
      </c>
      <c r="D3" s="147"/>
      <c r="E3" s="147"/>
      <c r="F3" s="147"/>
      <c r="G3" s="147"/>
      <c r="H3" s="53"/>
      <c r="I3" s="26"/>
      <c r="J3" s="26"/>
      <c r="K3" s="26"/>
      <c r="L3" s="26"/>
      <c r="M3" s="51"/>
      <c r="N3" s="51"/>
      <c r="O3" s="51"/>
      <c r="P3" s="51"/>
      <c r="Q3" s="51"/>
      <c r="R3" s="51"/>
      <c r="S3" s="35"/>
      <c r="T3" s="35"/>
      <c r="U3" s="35"/>
      <c r="V3" s="35"/>
      <c r="W3" s="35"/>
      <c r="X3" s="35"/>
      <c r="Y3" s="35"/>
      <c r="Z3" s="35"/>
      <c r="AA3" s="35"/>
      <c r="AB3" s="35"/>
      <c r="AC3" s="35"/>
      <c r="AD3" s="35"/>
      <c r="AE3" s="35"/>
      <c r="AF3" s="35"/>
      <c r="AG3" s="35"/>
      <c r="AH3" s="35"/>
      <c r="AI3" s="35"/>
      <c r="AJ3" s="35"/>
      <c r="AK3" s="35"/>
      <c r="AL3" s="35"/>
      <c r="AM3" s="51"/>
      <c r="AN3" s="51"/>
      <c r="AO3" s="51"/>
      <c r="AP3" s="35"/>
      <c r="AQ3" s="35"/>
      <c r="AR3" s="35"/>
      <c r="AS3" s="35"/>
      <c r="AT3" s="35"/>
      <c r="AU3" s="35"/>
      <c r="AV3" s="35"/>
      <c r="AY3" s="35"/>
      <c r="BE3" s="35"/>
      <c r="BG3" s="3"/>
      <c r="BH3" s="3"/>
      <c r="BI3" s="3"/>
      <c r="BJ3" s="3"/>
      <c r="BK3" s="3"/>
      <c r="BL3" s="3"/>
      <c r="BM3" s="3"/>
      <c r="BN3" s="3"/>
      <c r="BO3" s="3"/>
      <c r="BP3" s="3"/>
      <c r="BQ3" s="3"/>
      <c r="BR3" s="3"/>
      <c r="BS3" s="3"/>
      <c r="BT3" s="3"/>
      <c r="BU3" s="3"/>
      <c r="BV3" s="3"/>
      <c r="BW3" s="3"/>
      <c r="BX3" s="3"/>
      <c r="CW3" s="41"/>
    </row>
    <row r="4" spans="1:103" ht="45" customHeight="1" x14ac:dyDescent="0.95">
      <c r="A4" s="6"/>
      <c r="C4" s="148" t="s">
        <v>0</v>
      </c>
      <c r="D4" s="148"/>
      <c r="E4" s="148"/>
      <c r="F4" s="148"/>
      <c r="G4" s="148"/>
      <c r="H4" s="149"/>
      <c r="I4" s="52"/>
      <c r="J4" s="53"/>
      <c r="K4" s="53"/>
      <c r="L4" s="53"/>
      <c r="M4" s="53"/>
      <c r="N4" s="53"/>
      <c r="O4" s="53"/>
      <c r="P4" s="56" t="s">
        <v>0</v>
      </c>
      <c r="Q4" s="56"/>
      <c r="R4" s="56"/>
      <c r="S4" s="38"/>
      <c r="T4" s="38"/>
      <c r="U4" s="31"/>
      <c r="V4" s="48" t="s">
        <v>0</v>
      </c>
      <c r="W4" s="56"/>
      <c r="X4" s="31"/>
      <c r="Y4" s="40" t="s">
        <v>0</v>
      </c>
      <c r="Z4" s="40"/>
      <c r="AA4" s="40"/>
      <c r="AB4" s="40"/>
      <c r="AC4" s="40"/>
      <c r="AD4" s="40"/>
      <c r="AE4" s="31"/>
      <c r="AF4" s="31"/>
      <c r="AG4" s="31"/>
      <c r="AH4" s="31"/>
      <c r="AI4" s="31"/>
      <c r="AJ4" s="31"/>
      <c r="AK4" s="31"/>
      <c r="AL4" s="79" t="s">
        <v>0</v>
      </c>
      <c r="AM4" s="56"/>
      <c r="AN4" s="56"/>
      <c r="AO4" s="40"/>
      <c r="AP4" s="40"/>
      <c r="AQ4" s="40"/>
      <c r="AR4" s="40"/>
      <c r="AS4" s="40"/>
      <c r="AT4" s="40" t="s">
        <v>0</v>
      </c>
      <c r="AU4" s="31"/>
      <c r="AV4" s="31"/>
      <c r="AW4" s="7"/>
      <c r="AX4" s="40"/>
      <c r="AY4" s="31"/>
      <c r="AZ4" s="7"/>
      <c r="BA4" s="7"/>
      <c r="BB4" s="7"/>
      <c r="BC4" s="79" t="s">
        <v>0</v>
      </c>
      <c r="BD4" s="7"/>
      <c r="BF4" s="5"/>
      <c r="BG4" s="5"/>
      <c r="BH4" s="138"/>
      <c r="BI4" s="138"/>
      <c r="BJ4" s="138"/>
      <c r="BK4" s="138"/>
      <c r="BL4" s="41" t="s">
        <v>0</v>
      </c>
      <c r="BN4" s="41"/>
      <c r="BO4" s="41"/>
      <c r="BQ4" s="5"/>
      <c r="BR4" s="41"/>
      <c r="BS4" s="41" t="s">
        <v>0</v>
      </c>
      <c r="BT4" s="5"/>
      <c r="BU4" s="41"/>
      <c r="BV4" s="41"/>
      <c r="BW4" s="41"/>
      <c r="BX4" s="41"/>
      <c r="BY4" s="79" t="s">
        <v>0</v>
      </c>
      <c r="CB4" s="4"/>
      <c r="CD4" s="41"/>
      <c r="CE4" s="41"/>
      <c r="CF4" s="41" t="s">
        <v>0</v>
      </c>
      <c r="CL4" s="137" t="s">
        <v>0</v>
      </c>
      <c r="CM4" s="137"/>
      <c r="CR4" s="41"/>
      <c r="CU4" s="41" t="s">
        <v>0</v>
      </c>
      <c r="CV4" s="90"/>
      <c r="CW4" s="41" t="s">
        <v>0</v>
      </c>
    </row>
    <row r="5" spans="1:103" s="9" customFormat="1" ht="18.75" customHeight="1" x14ac:dyDescent="1">
      <c r="A5" s="8"/>
      <c r="B5" s="8"/>
      <c r="C5" s="49"/>
      <c r="D5" s="49"/>
      <c r="E5" s="49"/>
      <c r="F5" s="76"/>
      <c r="G5" s="49"/>
      <c r="H5" s="50"/>
      <c r="I5" s="81"/>
      <c r="J5" s="49"/>
      <c r="K5" s="49"/>
      <c r="L5" s="49"/>
      <c r="M5" s="82"/>
      <c r="N5" s="49"/>
      <c r="O5" s="49"/>
      <c r="P5" s="49"/>
      <c r="Q5" s="49"/>
      <c r="R5" s="49"/>
      <c r="S5" s="8"/>
      <c r="T5" s="8"/>
      <c r="U5" s="8"/>
      <c r="V5" s="8"/>
      <c r="W5" s="8"/>
      <c r="X5" s="8"/>
      <c r="Y5" s="8"/>
      <c r="Z5" s="8"/>
      <c r="AA5" s="8"/>
      <c r="AB5" s="8"/>
      <c r="AC5" s="8"/>
      <c r="AD5" s="8"/>
      <c r="AL5" s="8"/>
      <c r="AM5" s="49"/>
      <c r="AN5" s="49"/>
      <c r="AO5" s="49"/>
      <c r="AP5" s="8"/>
      <c r="AQ5" s="8"/>
      <c r="AR5" s="8"/>
      <c r="AS5" s="8"/>
      <c r="AT5" s="40"/>
      <c r="AU5" s="8"/>
      <c r="AW5" s="8"/>
      <c r="AX5" s="8"/>
      <c r="AZ5" s="8"/>
      <c r="BA5" s="8"/>
      <c r="BB5" s="8"/>
      <c r="BC5" s="8"/>
      <c r="BD5" s="8"/>
      <c r="BE5" s="8"/>
      <c r="BF5" s="8"/>
      <c r="BH5" s="8"/>
      <c r="BI5" s="8"/>
      <c r="BP5" s="8"/>
      <c r="BQ5" s="8"/>
      <c r="BR5" s="8"/>
      <c r="BS5" s="8"/>
      <c r="BT5" s="8"/>
      <c r="BU5" s="8"/>
      <c r="BV5" s="8"/>
      <c r="BW5" s="8"/>
      <c r="BX5" s="8"/>
      <c r="BY5" s="8"/>
      <c r="BZ5" s="8"/>
      <c r="CA5" s="8"/>
      <c r="CB5" s="8"/>
      <c r="CW5" s="8"/>
    </row>
    <row r="6" spans="1:103" s="67" customFormat="1" ht="138.75" customHeight="1" x14ac:dyDescent="0.7">
      <c r="A6" s="153" t="s">
        <v>1</v>
      </c>
      <c r="B6" s="153" t="s">
        <v>48</v>
      </c>
      <c r="C6" s="74" t="s">
        <v>306</v>
      </c>
      <c r="D6" s="124" t="s">
        <v>81</v>
      </c>
      <c r="E6" s="139"/>
      <c r="F6" s="139"/>
      <c r="G6" s="139"/>
      <c r="H6" s="125"/>
      <c r="I6" s="124" t="s">
        <v>81</v>
      </c>
      <c r="J6" s="139"/>
      <c r="K6" s="139"/>
      <c r="L6" s="139"/>
      <c r="M6" s="139"/>
      <c r="N6" s="139"/>
      <c r="O6" s="139"/>
      <c r="P6" s="139"/>
      <c r="Q6" s="139"/>
      <c r="R6" s="125"/>
      <c r="S6" s="124" t="s">
        <v>81</v>
      </c>
      <c r="T6" s="139"/>
      <c r="U6" s="139"/>
      <c r="V6" s="139"/>
      <c r="W6" s="139" t="s">
        <v>81</v>
      </c>
      <c r="X6" s="139"/>
      <c r="Y6" s="125"/>
      <c r="Z6" s="124" t="s">
        <v>81</v>
      </c>
      <c r="AA6" s="139"/>
      <c r="AB6" s="139"/>
      <c r="AC6" s="139"/>
      <c r="AD6" s="139"/>
      <c r="AE6" s="139"/>
      <c r="AF6" s="139"/>
      <c r="AG6" s="139"/>
      <c r="AH6" s="139"/>
      <c r="AI6" s="139"/>
      <c r="AJ6" s="139"/>
      <c r="AK6" s="139"/>
      <c r="AL6" s="125"/>
      <c r="AM6" s="124" t="s">
        <v>81</v>
      </c>
      <c r="AN6" s="139"/>
      <c r="AO6" s="139"/>
      <c r="AP6" s="139"/>
      <c r="AQ6" s="139"/>
      <c r="AR6" s="139"/>
      <c r="AS6" s="139"/>
      <c r="AT6" s="125"/>
      <c r="AU6" s="124" t="s">
        <v>2</v>
      </c>
      <c r="AV6" s="139"/>
      <c r="AW6" s="139"/>
      <c r="AX6" s="139"/>
      <c r="AY6" s="139"/>
      <c r="AZ6" s="139"/>
      <c r="BA6" s="139"/>
      <c r="BB6" s="139"/>
      <c r="BC6" s="139"/>
      <c r="BD6" s="139" t="s">
        <v>2</v>
      </c>
      <c r="BE6" s="125"/>
      <c r="BF6" s="124" t="s">
        <v>47</v>
      </c>
      <c r="BG6" s="139"/>
      <c r="BH6" s="139"/>
      <c r="BI6" s="139"/>
      <c r="BJ6" s="139"/>
      <c r="BK6" s="139"/>
      <c r="BL6" s="139"/>
      <c r="BM6" s="139" t="s">
        <v>47</v>
      </c>
      <c r="BN6" s="139"/>
      <c r="BO6" s="139"/>
      <c r="BP6" s="139"/>
      <c r="BQ6" s="139"/>
      <c r="BR6" s="139"/>
      <c r="BS6" s="139"/>
      <c r="BT6" s="139" t="s">
        <v>47</v>
      </c>
      <c r="BU6" s="139"/>
      <c r="BV6" s="139"/>
      <c r="BW6" s="139"/>
      <c r="BX6" s="125"/>
      <c r="BY6" s="153" t="s">
        <v>3</v>
      </c>
      <c r="BZ6" s="124" t="s">
        <v>255</v>
      </c>
      <c r="CA6" s="139"/>
      <c r="CB6" s="139"/>
      <c r="CC6" s="139"/>
      <c r="CD6" s="139"/>
      <c r="CE6" s="139"/>
      <c r="CF6" s="139"/>
      <c r="CG6" s="139" t="s">
        <v>255</v>
      </c>
      <c r="CH6" s="139"/>
      <c r="CI6" s="139"/>
      <c r="CJ6" s="139"/>
      <c r="CK6" s="139"/>
      <c r="CL6" s="139"/>
      <c r="CM6" s="139"/>
      <c r="CN6" s="139" t="s">
        <v>255</v>
      </c>
      <c r="CO6" s="139"/>
      <c r="CP6" s="139"/>
      <c r="CQ6" s="139"/>
      <c r="CR6" s="139"/>
      <c r="CS6" s="139"/>
      <c r="CT6" s="139"/>
      <c r="CU6" s="139"/>
      <c r="CV6" s="89" t="s">
        <v>255</v>
      </c>
      <c r="CW6" s="166" t="s">
        <v>3</v>
      </c>
      <c r="CX6" s="65"/>
      <c r="CY6" s="66"/>
    </row>
    <row r="7" spans="1:103" s="10" customFormat="1" ht="57.75" customHeight="1" x14ac:dyDescent="0.2">
      <c r="A7" s="154"/>
      <c r="B7" s="154"/>
      <c r="C7" s="112" t="s">
        <v>4</v>
      </c>
      <c r="D7" s="116" t="s">
        <v>4</v>
      </c>
      <c r="E7" s="117"/>
      <c r="F7" s="117"/>
      <c r="G7" s="117"/>
      <c r="H7" s="118"/>
      <c r="I7" s="175" t="s">
        <v>4</v>
      </c>
      <c r="J7" s="176"/>
      <c r="K7" s="176"/>
      <c r="L7" s="176"/>
      <c r="M7" s="176"/>
      <c r="N7" s="176"/>
      <c r="O7" s="176"/>
      <c r="P7" s="176"/>
      <c r="Q7" s="176"/>
      <c r="R7" s="177"/>
      <c r="S7" s="124" t="s">
        <v>4</v>
      </c>
      <c r="T7" s="139"/>
      <c r="U7" s="139"/>
      <c r="V7" s="139"/>
      <c r="W7" s="139" t="s">
        <v>4</v>
      </c>
      <c r="X7" s="139"/>
      <c r="Y7" s="125"/>
      <c r="Z7" s="124" t="s">
        <v>5</v>
      </c>
      <c r="AA7" s="125"/>
      <c r="AB7" s="107"/>
      <c r="AC7" s="124" t="s">
        <v>4</v>
      </c>
      <c r="AD7" s="125"/>
      <c r="AE7" s="73"/>
      <c r="AF7" s="68" t="s">
        <v>4</v>
      </c>
      <c r="AG7" s="116" t="s">
        <v>5</v>
      </c>
      <c r="AH7" s="117"/>
      <c r="AI7" s="117"/>
      <c r="AJ7" s="117"/>
      <c r="AK7" s="117"/>
      <c r="AL7" s="178"/>
      <c r="AM7" s="71"/>
      <c r="AN7" s="116" t="s">
        <v>4</v>
      </c>
      <c r="AO7" s="117"/>
      <c r="AP7" s="117"/>
      <c r="AQ7" s="117"/>
      <c r="AR7" s="117"/>
      <c r="AS7" s="117"/>
      <c r="AT7" s="118"/>
      <c r="AU7" s="116" t="s">
        <v>4</v>
      </c>
      <c r="AV7" s="117"/>
      <c r="AW7" s="117"/>
      <c r="AX7" s="118"/>
      <c r="AY7" s="116" t="s">
        <v>5</v>
      </c>
      <c r="AZ7" s="117"/>
      <c r="BA7" s="117"/>
      <c r="BB7" s="117"/>
      <c r="BC7" s="117"/>
      <c r="BD7" s="117" t="s">
        <v>5</v>
      </c>
      <c r="BE7" s="118"/>
      <c r="BF7" s="116" t="s">
        <v>4</v>
      </c>
      <c r="BG7" s="117"/>
      <c r="BH7" s="117"/>
      <c r="BI7" s="117"/>
      <c r="BJ7" s="117"/>
      <c r="BK7" s="117"/>
      <c r="BL7" s="117"/>
      <c r="BM7" s="117" t="s">
        <v>4</v>
      </c>
      <c r="BN7" s="117"/>
      <c r="BO7" s="117"/>
      <c r="BP7" s="118"/>
      <c r="BQ7" s="116" t="s">
        <v>5</v>
      </c>
      <c r="BR7" s="117"/>
      <c r="BS7" s="117"/>
      <c r="BT7" s="117" t="s">
        <v>5</v>
      </c>
      <c r="BU7" s="117"/>
      <c r="BV7" s="117"/>
      <c r="BW7" s="117"/>
      <c r="BX7" s="118"/>
      <c r="BY7" s="154"/>
      <c r="BZ7" s="116" t="s">
        <v>4</v>
      </c>
      <c r="CA7" s="117"/>
      <c r="CB7" s="117"/>
      <c r="CC7" s="118"/>
      <c r="CD7" s="162" t="s">
        <v>5</v>
      </c>
      <c r="CE7" s="163"/>
      <c r="CF7" s="164"/>
      <c r="CG7" s="116" t="s">
        <v>4</v>
      </c>
      <c r="CH7" s="117"/>
      <c r="CI7" s="117"/>
      <c r="CJ7" s="117"/>
      <c r="CK7" s="117"/>
      <c r="CL7" s="117"/>
      <c r="CM7" s="117"/>
      <c r="CN7" s="117" t="s">
        <v>4</v>
      </c>
      <c r="CO7" s="117"/>
      <c r="CP7" s="117"/>
      <c r="CQ7" s="118"/>
      <c r="CR7" s="162" t="s">
        <v>5</v>
      </c>
      <c r="CS7" s="163"/>
      <c r="CT7" s="163"/>
      <c r="CU7" s="163"/>
      <c r="CV7" s="88" t="s">
        <v>5</v>
      </c>
      <c r="CW7" s="167"/>
      <c r="CX7" s="37"/>
      <c r="CY7" s="36"/>
    </row>
    <row r="8" spans="1:103" s="64" customFormat="1" ht="83.25" customHeight="1" x14ac:dyDescent="0.65">
      <c r="A8" s="154"/>
      <c r="B8" s="154"/>
      <c r="C8" s="60"/>
      <c r="D8" s="61"/>
      <c r="E8" s="61"/>
      <c r="F8" s="131" t="s">
        <v>6</v>
      </c>
      <c r="G8" s="132"/>
      <c r="H8" s="133"/>
      <c r="I8" s="83" t="s">
        <v>6</v>
      </c>
      <c r="J8" s="131" t="s">
        <v>87</v>
      </c>
      <c r="K8" s="132"/>
      <c r="L8" s="132"/>
      <c r="M8" s="132"/>
      <c r="N8" s="132"/>
      <c r="O8" s="132"/>
      <c r="P8" s="132"/>
      <c r="Q8" s="132"/>
      <c r="R8" s="133"/>
      <c r="S8" s="124" t="s">
        <v>87</v>
      </c>
      <c r="T8" s="139"/>
      <c r="U8" s="139"/>
      <c r="V8" s="139"/>
      <c r="W8" s="139" t="s">
        <v>87</v>
      </c>
      <c r="X8" s="139"/>
      <c r="Y8" s="139"/>
      <c r="Z8" s="179" t="s">
        <v>87</v>
      </c>
      <c r="AA8" s="179"/>
      <c r="AB8" s="179"/>
      <c r="AC8" s="179"/>
      <c r="AD8" s="179"/>
      <c r="AE8" s="179"/>
      <c r="AF8" s="179"/>
      <c r="AG8" s="179"/>
      <c r="AH8" s="179"/>
      <c r="AI8" s="179"/>
      <c r="AJ8" s="179"/>
      <c r="AK8" s="179"/>
      <c r="AL8" s="179"/>
      <c r="AM8" s="179" t="s">
        <v>87</v>
      </c>
      <c r="AN8" s="179"/>
      <c r="AO8" s="179"/>
      <c r="AP8" s="179"/>
      <c r="AQ8" s="179"/>
      <c r="AR8" s="179"/>
      <c r="AS8" s="179"/>
      <c r="AT8" s="180"/>
      <c r="AU8" s="131" t="s">
        <v>246</v>
      </c>
      <c r="AV8" s="132"/>
      <c r="AW8" s="132"/>
      <c r="AX8" s="132"/>
      <c r="AY8" s="132"/>
      <c r="AZ8" s="132"/>
      <c r="BA8" s="132"/>
      <c r="BB8" s="132"/>
      <c r="BC8" s="132"/>
      <c r="BD8" s="132" t="s">
        <v>246</v>
      </c>
      <c r="BE8" s="133"/>
      <c r="BF8" s="80"/>
      <c r="BG8" s="131" t="s">
        <v>7</v>
      </c>
      <c r="BH8" s="132"/>
      <c r="BI8" s="132"/>
      <c r="BJ8" s="132"/>
      <c r="BK8" s="132"/>
      <c r="BL8" s="132"/>
      <c r="BM8" s="132" t="s">
        <v>7</v>
      </c>
      <c r="BN8" s="132"/>
      <c r="BO8" s="132"/>
      <c r="BP8" s="132"/>
      <c r="BQ8" s="132"/>
      <c r="BR8" s="132"/>
      <c r="BS8" s="132"/>
      <c r="BT8" s="132" t="s">
        <v>7</v>
      </c>
      <c r="BU8" s="132"/>
      <c r="BV8" s="132"/>
      <c r="BW8" s="132"/>
      <c r="BX8" s="133"/>
      <c r="BY8" s="154"/>
      <c r="BZ8" s="140" t="s">
        <v>87</v>
      </c>
      <c r="CA8" s="141"/>
      <c r="CB8" s="141"/>
      <c r="CC8" s="141"/>
      <c r="CD8" s="141"/>
      <c r="CE8" s="141"/>
      <c r="CF8" s="165"/>
      <c r="CG8" s="140" t="s">
        <v>7</v>
      </c>
      <c r="CH8" s="141"/>
      <c r="CI8" s="141"/>
      <c r="CJ8" s="141"/>
      <c r="CK8" s="141"/>
      <c r="CL8" s="141"/>
      <c r="CM8" s="141"/>
      <c r="CN8" s="141" t="s">
        <v>7</v>
      </c>
      <c r="CO8" s="141"/>
      <c r="CP8" s="141"/>
      <c r="CQ8" s="141"/>
      <c r="CR8" s="141"/>
      <c r="CS8" s="141"/>
      <c r="CT8" s="141"/>
      <c r="CU8" s="141"/>
      <c r="CV8" s="87" t="s">
        <v>7</v>
      </c>
      <c r="CW8" s="167"/>
      <c r="CX8" s="62"/>
      <c r="CY8" s="63"/>
    </row>
    <row r="9" spans="1:103" s="10" customFormat="1" ht="54.75" customHeight="1" x14ac:dyDescent="0.2">
      <c r="A9" s="154"/>
      <c r="B9" s="154"/>
      <c r="C9" s="11" t="s">
        <v>88</v>
      </c>
      <c r="D9" s="11" t="s">
        <v>355</v>
      </c>
      <c r="E9" s="11" t="s">
        <v>97</v>
      </c>
      <c r="F9" s="11" t="s">
        <v>89</v>
      </c>
      <c r="G9" s="11" t="s">
        <v>90</v>
      </c>
      <c r="H9" s="11" t="s">
        <v>91</v>
      </c>
      <c r="I9" s="11" t="s">
        <v>92</v>
      </c>
      <c r="J9" s="11" t="s">
        <v>341</v>
      </c>
      <c r="K9" s="11" t="s">
        <v>307</v>
      </c>
      <c r="L9" s="11" t="s">
        <v>231</v>
      </c>
      <c r="M9" s="134" t="s">
        <v>180</v>
      </c>
      <c r="N9" s="135"/>
      <c r="O9" s="135"/>
      <c r="P9" s="135"/>
      <c r="Q9" s="135"/>
      <c r="R9" s="136"/>
      <c r="S9" s="11" t="s">
        <v>225</v>
      </c>
      <c r="T9" s="11" t="s">
        <v>232</v>
      </c>
      <c r="U9" s="103" t="s">
        <v>163</v>
      </c>
      <c r="V9" s="11" t="s">
        <v>295</v>
      </c>
      <c r="W9" s="11" t="s">
        <v>321</v>
      </c>
      <c r="X9" s="11" t="s">
        <v>305</v>
      </c>
      <c r="Y9" s="11" t="s">
        <v>164</v>
      </c>
      <c r="Z9" s="11" t="s">
        <v>332</v>
      </c>
      <c r="AA9" s="11" t="s">
        <v>252</v>
      </c>
      <c r="AB9" s="184" t="s">
        <v>350</v>
      </c>
      <c r="AC9" s="185"/>
      <c r="AD9" s="186"/>
      <c r="AE9" s="134" t="s">
        <v>203</v>
      </c>
      <c r="AF9" s="135"/>
      <c r="AG9" s="135"/>
      <c r="AH9" s="135"/>
      <c r="AI9" s="135"/>
      <c r="AJ9" s="135"/>
      <c r="AK9" s="135"/>
      <c r="AL9" s="136"/>
      <c r="AM9" s="181" t="s">
        <v>273</v>
      </c>
      <c r="AN9" s="182"/>
      <c r="AO9" s="183"/>
      <c r="AP9" s="134" t="s">
        <v>283</v>
      </c>
      <c r="AQ9" s="135"/>
      <c r="AR9" s="135"/>
      <c r="AS9" s="135"/>
      <c r="AT9" s="136"/>
      <c r="AU9" s="46" t="s">
        <v>245</v>
      </c>
      <c r="AV9" s="46" t="s">
        <v>185</v>
      </c>
      <c r="AW9" s="11" t="s">
        <v>249</v>
      </c>
      <c r="AX9" s="46" t="s">
        <v>184</v>
      </c>
      <c r="AY9" s="46" t="s">
        <v>184</v>
      </c>
      <c r="AZ9" s="134" t="s">
        <v>93</v>
      </c>
      <c r="BA9" s="135"/>
      <c r="BB9" s="135"/>
      <c r="BC9" s="136"/>
      <c r="BD9" s="45" t="s">
        <v>299</v>
      </c>
      <c r="BE9" s="11" t="s">
        <v>185</v>
      </c>
      <c r="BF9" s="11" t="s">
        <v>229</v>
      </c>
      <c r="BG9" s="134" t="s">
        <v>94</v>
      </c>
      <c r="BH9" s="136"/>
      <c r="BI9" s="134" t="s">
        <v>236</v>
      </c>
      <c r="BJ9" s="135"/>
      <c r="BK9" s="135"/>
      <c r="BL9" s="136"/>
      <c r="BM9" s="11" t="s">
        <v>216</v>
      </c>
      <c r="BN9" s="45" t="s">
        <v>298</v>
      </c>
      <c r="BO9" s="45" t="s">
        <v>328</v>
      </c>
      <c r="BP9" s="45" t="s">
        <v>95</v>
      </c>
      <c r="BQ9" s="134" t="s">
        <v>94</v>
      </c>
      <c r="BR9" s="136"/>
      <c r="BS9" s="45" t="s">
        <v>236</v>
      </c>
      <c r="BT9" s="11" t="s">
        <v>216</v>
      </c>
      <c r="BU9" s="11" t="s">
        <v>248</v>
      </c>
      <c r="BV9" s="11" t="s">
        <v>298</v>
      </c>
      <c r="BW9" s="11" t="s">
        <v>328</v>
      </c>
      <c r="BX9" s="11" t="s">
        <v>302</v>
      </c>
      <c r="BY9" s="154"/>
      <c r="BZ9" s="11" t="s">
        <v>212</v>
      </c>
      <c r="CA9" s="11" t="s">
        <v>323</v>
      </c>
      <c r="CB9" s="11" t="s">
        <v>222</v>
      </c>
      <c r="CC9" s="161" t="s">
        <v>199</v>
      </c>
      <c r="CD9" s="160"/>
      <c r="CE9" s="77" t="s">
        <v>325</v>
      </c>
      <c r="CF9" s="11" t="s">
        <v>188</v>
      </c>
      <c r="CG9" s="161" t="s">
        <v>192</v>
      </c>
      <c r="CH9" s="159"/>
      <c r="CI9" s="159"/>
      <c r="CJ9" s="159"/>
      <c r="CK9" s="159"/>
      <c r="CL9" s="159"/>
      <c r="CM9" s="159"/>
      <c r="CN9" s="159" t="s">
        <v>192</v>
      </c>
      <c r="CO9" s="159"/>
      <c r="CP9" s="159"/>
      <c r="CQ9" s="159"/>
      <c r="CR9" s="159"/>
      <c r="CS9" s="159"/>
      <c r="CT9" s="159"/>
      <c r="CU9" s="160"/>
      <c r="CV9" s="57" t="s">
        <v>277</v>
      </c>
      <c r="CW9" s="167"/>
      <c r="CX9" s="37"/>
      <c r="CY9" s="36"/>
    </row>
    <row r="10" spans="1:103" s="44" customFormat="1" ht="63" customHeight="1" x14ac:dyDescent="0.65">
      <c r="A10" s="154"/>
      <c r="B10" s="154"/>
      <c r="C10" s="142" t="s">
        <v>85</v>
      </c>
      <c r="D10" s="119" t="s">
        <v>356</v>
      </c>
      <c r="E10" s="142" t="s">
        <v>258</v>
      </c>
      <c r="F10" s="150" t="s">
        <v>308</v>
      </c>
      <c r="G10" s="150" t="s">
        <v>309</v>
      </c>
      <c r="H10" s="150" t="s">
        <v>310</v>
      </c>
      <c r="I10" s="187" t="s">
        <v>311</v>
      </c>
      <c r="J10" s="142" t="s">
        <v>342</v>
      </c>
      <c r="K10" s="142" t="s">
        <v>313</v>
      </c>
      <c r="L10" s="142" t="s">
        <v>256</v>
      </c>
      <c r="M10" s="142" t="s">
        <v>312</v>
      </c>
      <c r="N10" s="190" t="s">
        <v>254</v>
      </c>
      <c r="O10" s="191"/>
      <c r="P10" s="191"/>
      <c r="Q10" s="191"/>
      <c r="R10" s="192"/>
      <c r="S10" s="142" t="s">
        <v>213</v>
      </c>
      <c r="T10" s="142" t="s">
        <v>233</v>
      </c>
      <c r="U10" s="156" t="s">
        <v>317</v>
      </c>
      <c r="V10" s="187" t="s">
        <v>296</v>
      </c>
      <c r="W10" s="187" t="s">
        <v>322</v>
      </c>
      <c r="X10" s="197" t="s">
        <v>304</v>
      </c>
      <c r="Y10" s="142" t="s">
        <v>336</v>
      </c>
      <c r="Z10" s="142" t="s">
        <v>333</v>
      </c>
      <c r="AA10" s="200" t="s">
        <v>314</v>
      </c>
      <c r="AB10" s="126" t="s">
        <v>354</v>
      </c>
      <c r="AC10" s="122" t="s">
        <v>351</v>
      </c>
      <c r="AD10" s="123"/>
      <c r="AE10" s="142" t="s">
        <v>294</v>
      </c>
      <c r="AF10" s="122" t="s">
        <v>207</v>
      </c>
      <c r="AG10" s="123"/>
      <c r="AH10" s="123"/>
      <c r="AI10" s="123"/>
      <c r="AJ10" s="123"/>
      <c r="AK10" s="123"/>
      <c r="AL10" s="205"/>
      <c r="AM10" s="142" t="s">
        <v>292</v>
      </c>
      <c r="AN10" s="203" t="s">
        <v>288</v>
      </c>
      <c r="AO10" s="204"/>
      <c r="AP10" s="156" t="s">
        <v>293</v>
      </c>
      <c r="AQ10" s="122" t="s">
        <v>284</v>
      </c>
      <c r="AR10" s="123"/>
      <c r="AS10" s="123"/>
      <c r="AT10" s="205"/>
      <c r="AU10" s="210" t="s">
        <v>261</v>
      </c>
      <c r="AV10" s="210" t="s">
        <v>187</v>
      </c>
      <c r="AW10" s="142" t="s">
        <v>262</v>
      </c>
      <c r="AX10" s="142" t="s">
        <v>186</v>
      </c>
      <c r="AY10" s="210" t="s">
        <v>186</v>
      </c>
      <c r="AZ10" s="210" t="s">
        <v>98</v>
      </c>
      <c r="BA10" s="142" t="s">
        <v>8</v>
      </c>
      <c r="BB10" s="203" t="s">
        <v>183</v>
      </c>
      <c r="BC10" s="204"/>
      <c r="BD10" s="210" t="s">
        <v>300</v>
      </c>
      <c r="BE10" s="210" t="s">
        <v>263</v>
      </c>
      <c r="BF10" s="142" t="s">
        <v>230</v>
      </c>
      <c r="BG10" s="142" t="s">
        <v>165</v>
      </c>
      <c r="BH10" s="142" t="s">
        <v>303</v>
      </c>
      <c r="BI10" s="142" t="s">
        <v>266</v>
      </c>
      <c r="BJ10" s="142" t="s">
        <v>206</v>
      </c>
      <c r="BK10" s="142" t="s">
        <v>205</v>
      </c>
      <c r="BL10" s="142" t="s">
        <v>237</v>
      </c>
      <c r="BM10" s="142" t="s">
        <v>264</v>
      </c>
      <c r="BN10" s="213" t="s">
        <v>301</v>
      </c>
      <c r="BO10" s="214"/>
      <c r="BP10" s="210" t="s">
        <v>82</v>
      </c>
      <c r="BQ10" s="210" t="s">
        <v>265</v>
      </c>
      <c r="BR10" s="142" t="s">
        <v>96</v>
      </c>
      <c r="BS10" s="142" t="s">
        <v>206</v>
      </c>
      <c r="BT10" s="213" t="s">
        <v>266</v>
      </c>
      <c r="BU10" s="214"/>
      <c r="BV10" s="213" t="s">
        <v>301</v>
      </c>
      <c r="BW10" s="214"/>
      <c r="BX10" s="142" t="s">
        <v>301</v>
      </c>
      <c r="BY10" s="154"/>
      <c r="BZ10" s="142" t="s">
        <v>213</v>
      </c>
      <c r="CA10" s="142" t="s">
        <v>324</v>
      </c>
      <c r="CB10" s="142" t="s">
        <v>267</v>
      </c>
      <c r="CC10" s="169" t="s">
        <v>200</v>
      </c>
      <c r="CD10" s="170"/>
      <c r="CE10" s="142" t="s">
        <v>326</v>
      </c>
      <c r="CF10" s="142" t="s">
        <v>189</v>
      </c>
      <c r="CG10" s="142" t="s">
        <v>268</v>
      </c>
      <c r="CH10" s="142" t="s">
        <v>191</v>
      </c>
      <c r="CI10" s="142" t="s">
        <v>269</v>
      </c>
      <c r="CJ10" s="142" t="s">
        <v>272</v>
      </c>
      <c r="CK10" s="142" t="s">
        <v>274</v>
      </c>
      <c r="CL10" s="142" t="s">
        <v>320</v>
      </c>
      <c r="CM10" s="142" t="s">
        <v>327</v>
      </c>
      <c r="CN10" s="142" t="s">
        <v>270</v>
      </c>
      <c r="CO10" s="142" t="s">
        <v>347</v>
      </c>
      <c r="CP10" s="142" t="s">
        <v>346</v>
      </c>
      <c r="CQ10" s="142" t="s">
        <v>343</v>
      </c>
      <c r="CR10" s="142" t="s">
        <v>270</v>
      </c>
      <c r="CS10" s="142" t="s">
        <v>191</v>
      </c>
      <c r="CT10" s="142" t="s">
        <v>291</v>
      </c>
      <c r="CU10" s="187" t="s">
        <v>316</v>
      </c>
      <c r="CV10" s="142" t="s">
        <v>278</v>
      </c>
      <c r="CW10" s="167"/>
      <c r="CX10" s="42"/>
      <c r="CY10" s="43"/>
    </row>
    <row r="11" spans="1:103" s="44" customFormat="1" ht="178.5" customHeight="1" x14ac:dyDescent="0.65">
      <c r="A11" s="154"/>
      <c r="B11" s="154"/>
      <c r="C11" s="143"/>
      <c r="D11" s="120"/>
      <c r="E11" s="143"/>
      <c r="F11" s="151"/>
      <c r="G11" s="151"/>
      <c r="H11" s="151"/>
      <c r="I11" s="188"/>
      <c r="J11" s="143"/>
      <c r="K11" s="143"/>
      <c r="L11" s="143"/>
      <c r="M11" s="143"/>
      <c r="N11" s="142" t="s">
        <v>259</v>
      </c>
      <c r="O11" s="142" t="s">
        <v>250</v>
      </c>
      <c r="P11" s="142" t="s">
        <v>251</v>
      </c>
      <c r="Q11" s="142" t="s">
        <v>334</v>
      </c>
      <c r="R11" s="142" t="s">
        <v>335</v>
      </c>
      <c r="S11" s="143"/>
      <c r="T11" s="143"/>
      <c r="U11" s="157"/>
      <c r="V11" s="188"/>
      <c r="W11" s="188"/>
      <c r="X11" s="198"/>
      <c r="Y11" s="143"/>
      <c r="Z11" s="143"/>
      <c r="AA11" s="201"/>
      <c r="AB11" s="127"/>
      <c r="AC11" s="129" t="s">
        <v>352</v>
      </c>
      <c r="AD11" s="126" t="s">
        <v>353</v>
      </c>
      <c r="AE11" s="143"/>
      <c r="AF11" s="193" t="s">
        <v>204</v>
      </c>
      <c r="AG11" s="206" t="s">
        <v>208</v>
      </c>
      <c r="AH11" s="193" t="s">
        <v>209</v>
      </c>
      <c r="AI11" s="193" t="s">
        <v>210</v>
      </c>
      <c r="AJ11" s="195" t="s">
        <v>244</v>
      </c>
      <c r="AK11" s="195" t="s">
        <v>211</v>
      </c>
      <c r="AL11" s="193" t="s">
        <v>260</v>
      </c>
      <c r="AM11" s="143"/>
      <c r="AN11" s="208" t="s">
        <v>289</v>
      </c>
      <c r="AO11" s="193" t="s">
        <v>290</v>
      </c>
      <c r="AP11" s="157"/>
      <c r="AQ11" s="193" t="s">
        <v>285</v>
      </c>
      <c r="AR11" s="193" t="s">
        <v>286</v>
      </c>
      <c r="AS11" s="193" t="s">
        <v>287</v>
      </c>
      <c r="AT11" s="193" t="s">
        <v>297</v>
      </c>
      <c r="AU11" s="211"/>
      <c r="AV11" s="211"/>
      <c r="AW11" s="143"/>
      <c r="AX11" s="143"/>
      <c r="AY11" s="211"/>
      <c r="AZ11" s="211"/>
      <c r="BA11" s="143"/>
      <c r="BB11" s="210" t="s">
        <v>247</v>
      </c>
      <c r="BC11" s="210" t="s">
        <v>315</v>
      </c>
      <c r="BD11" s="211"/>
      <c r="BE11" s="211"/>
      <c r="BF11" s="143"/>
      <c r="BG11" s="143"/>
      <c r="BH11" s="143"/>
      <c r="BI11" s="143"/>
      <c r="BJ11" s="143"/>
      <c r="BK11" s="143"/>
      <c r="BL11" s="143"/>
      <c r="BM11" s="143"/>
      <c r="BN11" s="215"/>
      <c r="BO11" s="216"/>
      <c r="BP11" s="211"/>
      <c r="BQ11" s="211"/>
      <c r="BR11" s="143"/>
      <c r="BS11" s="143"/>
      <c r="BT11" s="215"/>
      <c r="BU11" s="216"/>
      <c r="BV11" s="215"/>
      <c r="BW11" s="216"/>
      <c r="BX11" s="143"/>
      <c r="BY11" s="154"/>
      <c r="BZ11" s="143"/>
      <c r="CA11" s="143"/>
      <c r="CB11" s="143"/>
      <c r="CC11" s="171"/>
      <c r="CD11" s="172"/>
      <c r="CE11" s="143"/>
      <c r="CF11" s="143"/>
      <c r="CG11" s="143"/>
      <c r="CH11" s="143"/>
      <c r="CI11" s="143"/>
      <c r="CJ11" s="143"/>
      <c r="CK11" s="143"/>
      <c r="CL11" s="143"/>
      <c r="CM11" s="143"/>
      <c r="CN11" s="143"/>
      <c r="CO11" s="143"/>
      <c r="CP11" s="143"/>
      <c r="CQ11" s="143"/>
      <c r="CR11" s="143"/>
      <c r="CS11" s="143"/>
      <c r="CT11" s="143"/>
      <c r="CU11" s="188"/>
      <c r="CV11" s="143"/>
      <c r="CW11" s="167"/>
      <c r="CX11" s="42"/>
      <c r="CY11" s="43"/>
    </row>
    <row r="12" spans="1:103" s="23" customFormat="1" ht="334.5" customHeight="1" x14ac:dyDescent="0.65">
      <c r="A12" s="155"/>
      <c r="B12" s="155"/>
      <c r="C12" s="144"/>
      <c r="D12" s="121"/>
      <c r="E12" s="144"/>
      <c r="F12" s="152"/>
      <c r="G12" s="152"/>
      <c r="H12" s="152"/>
      <c r="I12" s="189"/>
      <c r="J12" s="144"/>
      <c r="K12" s="144"/>
      <c r="L12" s="144"/>
      <c r="M12" s="144"/>
      <c r="N12" s="144"/>
      <c r="O12" s="144"/>
      <c r="P12" s="144"/>
      <c r="Q12" s="144"/>
      <c r="R12" s="144"/>
      <c r="S12" s="144"/>
      <c r="T12" s="144"/>
      <c r="U12" s="158"/>
      <c r="V12" s="189"/>
      <c r="W12" s="189"/>
      <c r="X12" s="199"/>
      <c r="Y12" s="144"/>
      <c r="Z12" s="144"/>
      <c r="AA12" s="202"/>
      <c r="AB12" s="128"/>
      <c r="AC12" s="130"/>
      <c r="AD12" s="128"/>
      <c r="AE12" s="144"/>
      <c r="AF12" s="194"/>
      <c r="AG12" s="207"/>
      <c r="AH12" s="194"/>
      <c r="AI12" s="194"/>
      <c r="AJ12" s="196"/>
      <c r="AK12" s="196"/>
      <c r="AL12" s="194"/>
      <c r="AM12" s="144"/>
      <c r="AN12" s="209"/>
      <c r="AO12" s="194"/>
      <c r="AP12" s="158"/>
      <c r="AQ12" s="194"/>
      <c r="AR12" s="194"/>
      <c r="AS12" s="194"/>
      <c r="AT12" s="194"/>
      <c r="AU12" s="212"/>
      <c r="AV12" s="212"/>
      <c r="AW12" s="144"/>
      <c r="AX12" s="144"/>
      <c r="AY12" s="212"/>
      <c r="AZ12" s="212"/>
      <c r="BA12" s="144"/>
      <c r="BB12" s="212"/>
      <c r="BC12" s="212"/>
      <c r="BD12" s="212"/>
      <c r="BE12" s="212"/>
      <c r="BF12" s="144"/>
      <c r="BG12" s="144"/>
      <c r="BH12" s="144"/>
      <c r="BI12" s="144"/>
      <c r="BJ12" s="144"/>
      <c r="BK12" s="144"/>
      <c r="BL12" s="144"/>
      <c r="BM12" s="144"/>
      <c r="BN12" s="217"/>
      <c r="BO12" s="218"/>
      <c r="BP12" s="212"/>
      <c r="BQ12" s="212"/>
      <c r="BR12" s="144"/>
      <c r="BS12" s="144"/>
      <c r="BT12" s="217"/>
      <c r="BU12" s="218"/>
      <c r="BV12" s="217"/>
      <c r="BW12" s="218"/>
      <c r="BX12" s="144"/>
      <c r="BY12" s="155"/>
      <c r="BZ12" s="144"/>
      <c r="CA12" s="144"/>
      <c r="CB12" s="144"/>
      <c r="CC12" s="173"/>
      <c r="CD12" s="174"/>
      <c r="CE12" s="144"/>
      <c r="CF12" s="144"/>
      <c r="CG12" s="144"/>
      <c r="CH12" s="144"/>
      <c r="CI12" s="144"/>
      <c r="CJ12" s="144"/>
      <c r="CK12" s="144"/>
      <c r="CL12" s="144"/>
      <c r="CM12" s="144"/>
      <c r="CN12" s="144"/>
      <c r="CO12" s="144"/>
      <c r="CP12" s="144"/>
      <c r="CQ12" s="144"/>
      <c r="CR12" s="144"/>
      <c r="CS12" s="144"/>
      <c r="CT12" s="144"/>
      <c r="CU12" s="189"/>
      <c r="CV12" s="144"/>
      <c r="CW12" s="168"/>
      <c r="CX12" s="42"/>
    </row>
    <row r="13" spans="1:103" ht="55.5" customHeight="1" x14ac:dyDescent="0.8">
      <c r="A13" s="12" t="s">
        <v>12</v>
      </c>
      <c r="B13" s="13" t="s">
        <v>51</v>
      </c>
      <c r="C13" s="30"/>
      <c r="D13" s="30"/>
      <c r="E13" s="30"/>
      <c r="F13" s="98">
        <f>26116900-1356500+15800-3169000-190600</f>
        <v>21416600</v>
      </c>
      <c r="G13" s="98">
        <f>32078700+1595200-593409.54</f>
        <v>33080490.460000001</v>
      </c>
      <c r="H13" s="98">
        <f>5000+465-570+4350-445-209+400</f>
        <v>8991</v>
      </c>
      <c r="I13" s="93">
        <f>76898-14207</f>
        <v>62691</v>
      </c>
      <c r="J13" s="29">
        <f>125643</f>
        <v>125643</v>
      </c>
      <c r="K13" s="29"/>
      <c r="L13" s="29"/>
      <c r="M13" s="29">
        <f>N13+O13+P13+Q13+R13</f>
        <v>0</v>
      </c>
      <c r="N13" s="29"/>
      <c r="O13" s="29"/>
      <c r="P13" s="29"/>
      <c r="Q13" s="29"/>
      <c r="R13" s="29"/>
      <c r="S13" s="29">
        <f>572097+47675+95350</f>
        <v>715122</v>
      </c>
      <c r="T13" s="29">
        <v>86269</v>
      </c>
      <c r="U13" s="29">
        <f>491667+40000</f>
        <v>531667</v>
      </c>
      <c r="V13" s="29"/>
      <c r="W13" s="29"/>
      <c r="X13" s="29"/>
      <c r="Y13" s="29"/>
      <c r="Z13" s="29"/>
      <c r="AA13" s="29"/>
      <c r="AB13" s="29">
        <f>AC13+AD13</f>
        <v>451876</v>
      </c>
      <c r="AC13" s="29"/>
      <c r="AD13" s="110">
        <v>451876</v>
      </c>
      <c r="AE13" s="29">
        <f>AF13+AG13+AH13+AI13+AJ13+AK13+AL13</f>
        <v>67180</v>
      </c>
      <c r="AF13" s="29"/>
      <c r="AG13" s="29"/>
      <c r="AH13" s="29">
        <f>68740-1560</f>
        <v>67180</v>
      </c>
      <c r="AI13" s="29"/>
      <c r="AJ13" s="29"/>
      <c r="AK13" s="29"/>
      <c r="AL13" s="29"/>
      <c r="AM13" s="29">
        <f>AN13+AO13</f>
        <v>359155</v>
      </c>
      <c r="AN13" s="29">
        <v>153055</v>
      </c>
      <c r="AO13" s="29">
        <v>206100</v>
      </c>
      <c r="AP13" s="29">
        <f>AQ13+AR13+AS13+AT13</f>
        <v>384491</v>
      </c>
      <c r="AQ13" s="29">
        <v>139888</v>
      </c>
      <c r="AR13" s="29">
        <v>174048</v>
      </c>
      <c r="AS13" s="29">
        <v>55975</v>
      </c>
      <c r="AT13" s="29">
        <v>14580</v>
      </c>
      <c r="AU13" s="29"/>
      <c r="AV13" s="29"/>
      <c r="AW13" s="29"/>
      <c r="AX13" s="29"/>
      <c r="AY13" s="29"/>
      <c r="AZ13" s="29"/>
      <c r="BA13" s="29"/>
      <c r="BB13" s="29"/>
      <c r="BC13" s="29"/>
      <c r="BD13" s="29"/>
      <c r="BE13" s="29"/>
      <c r="BF13" s="29"/>
      <c r="BG13" s="29">
        <f>500000+30000+50000</f>
        <v>580000</v>
      </c>
      <c r="BH13" s="29"/>
      <c r="BI13" s="29"/>
      <c r="BJ13" s="29"/>
      <c r="BK13" s="29">
        <v>900000</v>
      </c>
      <c r="BL13" s="29"/>
      <c r="BM13" s="29"/>
      <c r="BN13" s="29"/>
      <c r="BO13" s="29"/>
      <c r="BP13" s="29"/>
      <c r="BQ13" s="29"/>
      <c r="BR13" s="29">
        <v>575000</v>
      </c>
      <c r="BS13" s="29"/>
      <c r="BT13" s="29"/>
      <c r="BU13" s="29"/>
      <c r="BV13" s="29"/>
      <c r="BW13" s="29"/>
      <c r="BX13" s="29"/>
      <c r="BY13" s="29">
        <f>SUM(C13:BU13)-AF13-AG13-AH13-AI13-AJ13-AK13-AL13-BB13-N13-O13-P13-AQ13-AR13-AS13-AN13-AO13-AT13+BX13+BV13+BW13-Q13-R13-BC13-AD13-AC13</f>
        <v>59345175.460000001</v>
      </c>
      <c r="BZ13" s="29"/>
      <c r="CA13" s="29">
        <f>1000000+10000000</f>
        <v>11000000</v>
      </c>
      <c r="CB13" s="29"/>
      <c r="CC13" s="29"/>
      <c r="CD13" s="29"/>
      <c r="CE13" s="29"/>
      <c r="CF13" s="29"/>
      <c r="CG13" s="29"/>
      <c r="CH13" s="29">
        <v>23300</v>
      </c>
      <c r="CI13" s="29"/>
      <c r="CJ13" s="29"/>
      <c r="CK13" s="29"/>
      <c r="CL13" s="29"/>
      <c r="CM13" s="29"/>
      <c r="CN13" s="29"/>
      <c r="CO13" s="29"/>
      <c r="CP13" s="29"/>
      <c r="CQ13" s="29"/>
      <c r="CR13" s="29"/>
      <c r="CS13" s="29"/>
      <c r="CT13" s="29"/>
      <c r="CU13" s="29"/>
      <c r="CV13" s="29"/>
      <c r="CW13" s="29">
        <f t="shared" ref="CW13:CW44" si="0">SUM(BZ13:CV13)</f>
        <v>11023300</v>
      </c>
      <c r="CX13" s="29"/>
    </row>
    <row r="14" spans="1:103" ht="55.5" customHeight="1" x14ac:dyDescent="0.8">
      <c r="A14" s="12" t="s">
        <v>13</v>
      </c>
      <c r="B14" s="13" t="s">
        <v>86</v>
      </c>
      <c r="C14" s="28"/>
      <c r="D14" s="28"/>
      <c r="E14" s="28"/>
      <c r="F14" s="99">
        <f>1066679500-3680800-1909800-128049200-7606500</f>
        <v>925433200</v>
      </c>
      <c r="G14" s="99">
        <f>1103149900-27714300-20286359.73</f>
        <v>1055149240.27</v>
      </c>
      <c r="H14" s="99">
        <f>988300-353965+52870+83450+23045+698.98+53600</f>
        <v>847998.98</v>
      </c>
      <c r="I14" s="91">
        <f>13533570-2675422</f>
        <v>10858148</v>
      </c>
      <c r="J14" s="69">
        <f>19114100+6573144</f>
        <v>25687244</v>
      </c>
      <c r="K14" s="69">
        <f>30000+500000</f>
        <v>530000</v>
      </c>
      <c r="L14" s="69">
        <v>1114357</v>
      </c>
      <c r="M14" s="29">
        <f t="shared" ref="M14:M77" si="1">N14+O14+P14+Q14+R14</f>
        <v>0</v>
      </c>
      <c r="N14" s="69"/>
      <c r="O14" s="69"/>
      <c r="P14" s="69"/>
      <c r="Q14" s="69"/>
      <c r="R14" s="69"/>
      <c r="S14" s="69">
        <f>21031131+4471761+4043256</f>
        <v>29546148</v>
      </c>
      <c r="T14" s="69">
        <v>3171362.39</v>
      </c>
      <c r="U14" s="69">
        <f>29318894+1200000</f>
        <v>30518894</v>
      </c>
      <c r="V14" s="91">
        <f>7862476.69+1115013.23+8388+780147</f>
        <v>9766024.9199999999</v>
      </c>
      <c r="W14" s="69"/>
      <c r="X14" s="91">
        <f>708174.21+245248.96+678700</f>
        <v>1632123.17</v>
      </c>
      <c r="Y14" s="69">
        <f>560000+552930</f>
        <v>1112930</v>
      </c>
      <c r="Z14" s="29"/>
      <c r="AA14" s="29">
        <f>11152718.2+387441.26</f>
        <v>11540159.459999999</v>
      </c>
      <c r="AB14" s="29">
        <f t="shared" ref="AB14:AB77" si="2">AC14+AD14</f>
        <v>4066890</v>
      </c>
      <c r="AC14" s="29"/>
      <c r="AD14" s="110">
        <v>4066890</v>
      </c>
      <c r="AE14" s="29">
        <f t="shared" ref="AE14:AE77" si="3">AF14+AG14+AH14+AI14+AJ14+AK14+AL14</f>
        <v>4777316</v>
      </c>
      <c r="AF14" s="69"/>
      <c r="AG14" s="69"/>
      <c r="AH14" s="69">
        <f>1809832-42236</f>
        <v>1767596</v>
      </c>
      <c r="AI14" s="69">
        <f>400000</f>
        <v>400000</v>
      </c>
      <c r="AJ14" s="69">
        <f>1834300</f>
        <v>1834300</v>
      </c>
      <c r="AK14" s="69">
        <f>775420</f>
        <v>775420</v>
      </c>
      <c r="AL14" s="69"/>
      <c r="AM14" s="29">
        <f t="shared" ref="AM14:AM77" si="4">AN14+AO14</f>
        <v>2264527.0300000003</v>
      </c>
      <c r="AN14" s="104">
        <f>6060838-4208510.97</f>
        <v>1852327.0300000003</v>
      </c>
      <c r="AO14" s="29">
        <v>412200</v>
      </c>
      <c r="AP14" s="29">
        <f t="shared" ref="AP14:AP77" si="5">AQ14+AR14+AS14+AT14</f>
        <v>16335603</v>
      </c>
      <c r="AQ14" s="69">
        <v>6134924</v>
      </c>
      <c r="AR14" s="69">
        <v>8003518</v>
      </c>
      <c r="AS14" s="69">
        <v>2197161</v>
      </c>
      <c r="AT14" s="69"/>
      <c r="AU14" s="69"/>
      <c r="AV14" s="69"/>
      <c r="AW14" s="69"/>
      <c r="AX14" s="69"/>
      <c r="AY14" s="69"/>
      <c r="AZ14" s="69"/>
      <c r="BA14" s="69"/>
      <c r="BB14" s="69"/>
      <c r="BC14" s="69"/>
      <c r="BD14" s="69"/>
      <c r="BE14" s="69"/>
      <c r="BF14" s="69"/>
      <c r="BG14" s="69">
        <f>15695000+1635000</f>
        <v>17330000</v>
      </c>
      <c r="BH14" s="69">
        <v>585900</v>
      </c>
      <c r="BI14" s="69"/>
      <c r="BJ14" s="69"/>
      <c r="BK14" s="69">
        <v>4500000</v>
      </c>
      <c r="BL14" s="69">
        <f>6600000-550000</f>
        <v>6050000</v>
      </c>
      <c r="BM14" s="69">
        <v>39000</v>
      </c>
      <c r="BN14" s="69">
        <f>55473000+26000000</f>
        <v>81473000</v>
      </c>
      <c r="BO14" s="69"/>
      <c r="BP14" s="69"/>
      <c r="BQ14" s="69"/>
      <c r="BR14" s="69"/>
      <c r="BS14" s="29"/>
      <c r="BT14" s="29"/>
      <c r="BU14" s="29"/>
      <c r="BV14" s="29"/>
      <c r="BW14" s="29"/>
      <c r="BX14" s="29"/>
      <c r="BY14" s="29">
        <f t="shared" ref="BY14:BY77" si="6">SUM(C14:BU14)-AF14-AG14-AH14-AI14-AJ14-AK14-AL14-BB14-N14-O14-P14-AQ14-AR14-AS14-AN14-AO14-AT14+BX14+BV14+BW14-Q14-R14-BC14-AD14-AC14</f>
        <v>2244330066.2199998</v>
      </c>
      <c r="BZ14" s="29"/>
      <c r="CA14" s="29"/>
      <c r="CB14" s="29"/>
      <c r="CC14" s="69"/>
      <c r="CD14" s="69"/>
      <c r="CE14" s="69"/>
      <c r="CF14" s="69"/>
      <c r="CG14" s="69"/>
      <c r="CH14" s="69"/>
      <c r="CI14" s="69">
        <v>2150000</v>
      </c>
      <c r="CJ14" s="69"/>
      <c r="CK14" s="69"/>
      <c r="CL14" s="69"/>
      <c r="CM14" s="69"/>
      <c r="CN14" s="69">
        <f>59998+19800+396163</f>
        <v>475961</v>
      </c>
      <c r="CO14" s="69"/>
      <c r="CP14" s="69"/>
      <c r="CQ14" s="69"/>
      <c r="CR14" s="69">
        <f>98000+623600+100000+75000+225600+117000+64564+300000</f>
        <v>1603764</v>
      </c>
      <c r="CS14" s="69">
        <f>2105760-1102760</f>
        <v>1003000</v>
      </c>
      <c r="CT14" s="29">
        <v>14500000</v>
      </c>
      <c r="CU14" s="29"/>
      <c r="CV14" s="29"/>
      <c r="CW14" s="29">
        <f t="shared" si="0"/>
        <v>19732725</v>
      </c>
      <c r="CX14" s="69"/>
    </row>
    <row r="15" spans="1:103" ht="51.75" customHeight="1" x14ac:dyDescent="0.8">
      <c r="A15" s="12" t="s">
        <v>14</v>
      </c>
      <c r="B15" s="13" t="s">
        <v>162</v>
      </c>
      <c r="C15" s="28"/>
      <c r="D15" s="28"/>
      <c r="E15" s="28"/>
      <c r="F15" s="99">
        <f>291500400+1363300-1376000-34974500-2308200</f>
        <v>254205000</v>
      </c>
      <c r="G15" s="99">
        <f>452858700+5283100-8552025</f>
        <v>449589775</v>
      </c>
      <c r="H15" s="99">
        <f>334800-27900-11100+14500+16300+3653.12+21700</f>
        <v>351953.12</v>
      </c>
      <c r="I15" s="91">
        <f>9371121-1775515</f>
        <v>7595606</v>
      </c>
      <c r="J15" s="69">
        <f>6000000+3379710</f>
        <v>9379710</v>
      </c>
      <c r="K15" s="69"/>
      <c r="L15" s="69"/>
      <c r="M15" s="29">
        <f t="shared" si="1"/>
        <v>0</v>
      </c>
      <c r="N15" s="69"/>
      <c r="O15" s="69"/>
      <c r="P15" s="69"/>
      <c r="Q15" s="69"/>
      <c r="R15" s="69"/>
      <c r="S15" s="69">
        <f>5889997-1000000+490833+981666</f>
        <v>6362496</v>
      </c>
      <c r="T15" s="69">
        <v>888177</v>
      </c>
      <c r="U15" s="95">
        <f>6966835+85000+500000+194500</f>
        <v>7746335</v>
      </c>
      <c r="V15" s="91">
        <f>661150.01+981105</f>
        <v>1642255.01</v>
      </c>
      <c r="W15" s="69"/>
      <c r="X15" s="69"/>
      <c r="Y15" s="69"/>
      <c r="Z15" s="29"/>
      <c r="AA15" s="29"/>
      <c r="AB15" s="29">
        <f t="shared" si="2"/>
        <v>903753</v>
      </c>
      <c r="AC15" s="29"/>
      <c r="AD15" s="110">
        <v>903753</v>
      </c>
      <c r="AE15" s="29">
        <f t="shared" si="3"/>
        <v>11451123</v>
      </c>
      <c r="AF15" s="69">
        <f>10000000</f>
        <v>10000000</v>
      </c>
      <c r="AG15" s="69"/>
      <c r="AH15" s="69">
        <f>781918-17745</f>
        <v>764173</v>
      </c>
      <c r="AI15" s="69">
        <f>400000</f>
        <v>400000</v>
      </c>
      <c r="AJ15" s="69">
        <f>122285</f>
        <v>122285</v>
      </c>
      <c r="AK15" s="69">
        <f>164665</f>
        <v>164665</v>
      </c>
      <c r="AL15" s="69"/>
      <c r="AM15" s="29">
        <f t="shared" si="4"/>
        <v>1256311.58</v>
      </c>
      <c r="AN15" s="104">
        <f>1438717-800480.42</f>
        <v>638236.57999999996</v>
      </c>
      <c r="AO15" s="29">
        <f>824100-206025</f>
        <v>618075</v>
      </c>
      <c r="AP15" s="29">
        <f t="shared" si="5"/>
        <v>4309955</v>
      </c>
      <c r="AQ15" s="69">
        <v>1591226</v>
      </c>
      <c r="AR15" s="69">
        <v>1994559</v>
      </c>
      <c r="AS15" s="69">
        <f>139937+461793</f>
        <v>601730</v>
      </c>
      <c r="AT15" s="69">
        <v>122440</v>
      </c>
      <c r="AU15" s="69"/>
      <c r="AV15" s="69"/>
      <c r="AW15" s="69"/>
      <c r="AX15" s="69"/>
      <c r="AY15" s="69"/>
      <c r="AZ15" s="69"/>
      <c r="BA15" s="69"/>
      <c r="BB15" s="69"/>
      <c r="BC15" s="69"/>
      <c r="BD15" s="69"/>
      <c r="BE15" s="69"/>
      <c r="BF15" s="69"/>
      <c r="BG15" s="69">
        <f>1065000+190000</f>
        <v>1255000</v>
      </c>
      <c r="BH15" s="69"/>
      <c r="BI15" s="69"/>
      <c r="BJ15" s="69">
        <f>1000000-205740</f>
        <v>794260</v>
      </c>
      <c r="BK15" s="69"/>
      <c r="BL15" s="69">
        <f>550000-923.5</f>
        <v>549076.5</v>
      </c>
      <c r="BM15" s="69"/>
      <c r="BN15" s="69">
        <v>20000000</v>
      </c>
      <c r="BO15" s="69"/>
      <c r="BP15" s="69"/>
      <c r="BQ15" s="69"/>
      <c r="BR15" s="69"/>
      <c r="BS15" s="29">
        <v>1472110</v>
      </c>
      <c r="BT15" s="29"/>
      <c r="BU15" s="29"/>
      <c r="BV15" s="29">
        <v>13514000</v>
      </c>
      <c r="BW15" s="29"/>
      <c r="BX15" s="29"/>
      <c r="BY15" s="29">
        <f t="shared" si="6"/>
        <v>793266896.21000004</v>
      </c>
      <c r="BZ15" s="29"/>
      <c r="CA15" s="29"/>
      <c r="CB15" s="29"/>
      <c r="CC15" s="69"/>
      <c r="CD15" s="69">
        <f>2000000-2000000</f>
        <v>0</v>
      </c>
      <c r="CE15" s="69"/>
      <c r="CF15" s="69">
        <f>20000000-20000000</f>
        <v>0</v>
      </c>
      <c r="CG15" s="69"/>
      <c r="CH15" s="69">
        <v>80000</v>
      </c>
      <c r="CI15" s="69"/>
      <c r="CJ15" s="69"/>
      <c r="CK15" s="69"/>
      <c r="CL15" s="69"/>
      <c r="CM15" s="69"/>
      <c r="CN15" s="69"/>
      <c r="CO15" s="69"/>
      <c r="CP15" s="69">
        <v>149970</v>
      </c>
      <c r="CQ15" s="69"/>
      <c r="CR15" s="69"/>
      <c r="CS15" s="69"/>
      <c r="CT15" s="29"/>
      <c r="CU15" s="29"/>
      <c r="CV15" s="29"/>
      <c r="CW15" s="29">
        <f t="shared" si="0"/>
        <v>229970</v>
      </c>
      <c r="CX15" s="69"/>
    </row>
    <row r="16" spans="1:103" ht="59.25" customHeight="1" x14ac:dyDescent="0.8">
      <c r="A16" s="12" t="s">
        <v>15</v>
      </c>
      <c r="B16" s="13" t="s">
        <v>52</v>
      </c>
      <c r="C16" s="28"/>
      <c r="D16" s="28"/>
      <c r="E16" s="28"/>
      <c r="F16" s="99">
        <f>71097500-1522700+177500-8946600-645200</f>
        <v>60160500</v>
      </c>
      <c r="G16" s="99">
        <f>135723000+8281000-2696145.85</f>
        <v>141307854.15000001</v>
      </c>
      <c r="H16" s="99">
        <f>1224300-283400+269000-2500-18800-32049.9+56900</f>
        <v>1213450.1000000001</v>
      </c>
      <c r="I16" s="91">
        <f>2023634-59387</f>
        <v>1964247</v>
      </c>
      <c r="J16" s="69">
        <f>1100000+302790</f>
        <v>1402790</v>
      </c>
      <c r="K16" s="69"/>
      <c r="L16" s="69"/>
      <c r="M16" s="29">
        <f t="shared" si="1"/>
        <v>0</v>
      </c>
      <c r="N16" s="69"/>
      <c r="O16" s="69"/>
      <c r="P16" s="69"/>
      <c r="Q16" s="69"/>
      <c r="R16" s="69"/>
      <c r="S16" s="69">
        <f>945910-16553+78826+157652</f>
        <v>1165835</v>
      </c>
      <c r="T16" s="69">
        <v>142638</v>
      </c>
      <c r="U16" s="95">
        <f>1358775+300000-200000</f>
        <v>1458775</v>
      </c>
      <c r="V16" s="69">
        <f>528920.01+528920.01-8388</f>
        <v>1049452.02</v>
      </c>
      <c r="W16" s="69"/>
      <c r="X16" s="69"/>
      <c r="Y16" s="69"/>
      <c r="Z16" s="29"/>
      <c r="AA16" s="29"/>
      <c r="AB16" s="29">
        <f t="shared" si="2"/>
        <v>451876</v>
      </c>
      <c r="AC16" s="29"/>
      <c r="AD16" s="110">
        <v>451876</v>
      </c>
      <c r="AE16" s="29">
        <f t="shared" si="3"/>
        <v>3784891</v>
      </c>
      <c r="AF16" s="69">
        <v>3545041</v>
      </c>
      <c r="AG16" s="69"/>
      <c r="AH16" s="69">
        <f>120295-2730</f>
        <v>117565</v>
      </c>
      <c r="AI16" s="69"/>
      <c r="AJ16" s="69">
        <f>122285</f>
        <v>122285</v>
      </c>
      <c r="AK16" s="69"/>
      <c r="AL16" s="69"/>
      <c r="AM16" s="29">
        <f t="shared" si="4"/>
        <v>518320</v>
      </c>
      <c r="AN16" s="104">
        <f>612220-300000</f>
        <v>312220</v>
      </c>
      <c r="AO16" s="29">
        <v>206100</v>
      </c>
      <c r="AP16" s="29">
        <f t="shared" si="5"/>
        <v>709982</v>
      </c>
      <c r="AQ16" s="69">
        <v>244804</v>
      </c>
      <c r="AR16" s="69">
        <v>289821</v>
      </c>
      <c r="AS16" s="69">
        <f>601730-461793</f>
        <v>139937</v>
      </c>
      <c r="AT16" s="69">
        <v>35420</v>
      </c>
      <c r="AU16" s="69"/>
      <c r="AV16" s="69"/>
      <c r="AW16" s="69"/>
      <c r="AX16" s="69"/>
      <c r="AY16" s="69"/>
      <c r="AZ16" s="69"/>
      <c r="BA16" s="69"/>
      <c r="BB16" s="69"/>
      <c r="BC16" s="69"/>
      <c r="BD16" s="69"/>
      <c r="BE16" s="69"/>
      <c r="BF16" s="69"/>
      <c r="BG16" s="69">
        <f>550000+50000</f>
        <v>600000</v>
      </c>
      <c r="BH16" s="69">
        <f>50000</f>
        <v>50000</v>
      </c>
      <c r="BI16" s="69"/>
      <c r="BJ16" s="69">
        <v>1000000</v>
      </c>
      <c r="BK16" s="69">
        <v>450000</v>
      </c>
      <c r="BL16" s="69">
        <v>550000</v>
      </c>
      <c r="BM16" s="69"/>
      <c r="BN16" s="69"/>
      <c r="BO16" s="69"/>
      <c r="BP16" s="69"/>
      <c r="BQ16" s="69"/>
      <c r="BR16" s="69"/>
      <c r="BS16" s="29">
        <f>887345-138220</f>
        <v>749125</v>
      </c>
      <c r="BT16" s="29"/>
      <c r="BU16" s="29"/>
      <c r="BV16" s="29"/>
      <c r="BW16" s="29"/>
      <c r="BX16" s="29"/>
      <c r="BY16" s="29">
        <f t="shared" si="6"/>
        <v>218729735.27000001</v>
      </c>
      <c r="BZ16" s="29"/>
      <c r="CA16" s="29"/>
      <c r="CB16" s="29"/>
      <c r="CC16" s="69"/>
      <c r="CD16" s="69"/>
      <c r="CE16" s="69"/>
      <c r="CF16" s="69"/>
      <c r="CG16" s="69"/>
      <c r="CH16" s="69">
        <v>45800</v>
      </c>
      <c r="CI16" s="69"/>
      <c r="CJ16" s="69"/>
      <c r="CK16" s="69"/>
      <c r="CL16" s="69"/>
      <c r="CM16" s="69"/>
      <c r="CN16" s="69"/>
      <c r="CO16" s="69"/>
      <c r="CP16" s="69"/>
      <c r="CQ16" s="69"/>
      <c r="CR16" s="69"/>
      <c r="CS16" s="69"/>
      <c r="CT16" s="29"/>
      <c r="CU16" s="29"/>
      <c r="CV16" s="29"/>
      <c r="CW16" s="29">
        <f t="shared" si="0"/>
        <v>45800</v>
      </c>
      <c r="CX16" s="69"/>
    </row>
    <row r="17" spans="1:102" ht="66.75" customHeight="1" x14ac:dyDescent="0.8">
      <c r="A17" s="12" t="s">
        <v>16</v>
      </c>
      <c r="B17" s="13" t="s">
        <v>53</v>
      </c>
      <c r="C17" s="28"/>
      <c r="D17" s="28"/>
      <c r="E17" s="28"/>
      <c r="F17" s="99">
        <f>788973600+4679100+2480700-99941300-5882800</f>
        <v>690309300</v>
      </c>
      <c r="G17" s="99">
        <f>1165720000+38213000-21964406.61</f>
        <v>1181968593.3900001</v>
      </c>
      <c r="H17" s="100">
        <f>2233800-96800+19500+46800-17000-3956.46+86200</f>
        <v>2268543.54</v>
      </c>
      <c r="I17" s="91">
        <f>11153950-2475011</f>
        <v>8678939</v>
      </c>
      <c r="J17" s="69">
        <f>8000000+4703600</f>
        <v>12703600</v>
      </c>
      <c r="K17" s="69"/>
      <c r="L17" s="69"/>
      <c r="M17" s="29">
        <f t="shared" si="1"/>
        <v>0</v>
      </c>
      <c r="N17" s="69"/>
      <c r="O17" s="69"/>
      <c r="P17" s="69"/>
      <c r="Q17" s="69"/>
      <c r="R17" s="69"/>
      <c r="S17" s="69">
        <f>12235070-700000+1019589+2039178</f>
        <v>14593837</v>
      </c>
      <c r="T17" s="69">
        <v>1844977</v>
      </c>
      <c r="U17" s="69">
        <f>14416060+2000000</f>
        <v>16416060</v>
      </c>
      <c r="V17" s="69">
        <f>1038280.56+1620527.79</f>
        <v>2658808.35</v>
      </c>
      <c r="W17" s="69"/>
      <c r="X17" s="69">
        <v>1408926.87</v>
      </c>
      <c r="Y17" s="69">
        <f>10870000-780000</f>
        <v>10090000</v>
      </c>
      <c r="Z17" s="29"/>
      <c r="AA17" s="29">
        <f>404528.64</f>
        <v>404528.64000000001</v>
      </c>
      <c r="AB17" s="29">
        <f t="shared" si="2"/>
        <v>4518766</v>
      </c>
      <c r="AC17" s="29"/>
      <c r="AD17" s="110">
        <v>4518766</v>
      </c>
      <c r="AE17" s="29">
        <f t="shared" si="3"/>
        <v>3956733</v>
      </c>
      <c r="AF17" s="69"/>
      <c r="AG17" s="69"/>
      <c r="AH17" s="69">
        <f>2225458-50505</f>
        <v>2174953</v>
      </c>
      <c r="AI17" s="69"/>
      <c r="AJ17" s="69">
        <f>1467420</f>
        <v>1467420</v>
      </c>
      <c r="AK17" s="69">
        <f>314360</f>
        <v>314360</v>
      </c>
      <c r="AL17" s="69"/>
      <c r="AM17" s="29">
        <f t="shared" si="4"/>
        <v>10853817.630000001</v>
      </c>
      <c r="AN17" s="104">
        <f>24519411-13871693.37</f>
        <v>10647717.630000001</v>
      </c>
      <c r="AO17" s="29">
        <v>206100</v>
      </c>
      <c r="AP17" s="29">
        <f t="shared" si="5"/>
        <v>12389853</v>
      </c>
      <c r="AQ17" s="69">
        <v>4528874</v>
      </c>
      <c r="AR17" s="69">
        <v>5404035</v>
      </c>
      <c r="AS17" s="69">
        <v>1903264</v>
      </c>
      <c r="AT17" s="69">
        <v>553680</v>
      </c>
      <c r="AU17" s="69"/>
      <c r="AV17" s="69"/>
      <c r="AW17" s="69"/>
      <c r="AX17" s="69"/>
      <c r="AY17" s="69"/>
      <c r="AZ17" s="69"/>
      <c r="BA17" s="69"/>
      <c r="BB17" s="69"/>
      <c r="BC17" s="69"/>
      <c r="BD17" s="69"/>
      <c r="BE17" s="69"/>
      <c r="BF17" s="69"/>
      <c r="BG17" s="69">
        <f>14750000-1060000+1290000</f>
        <v>14980000</v>
      </c>
      <c r="BH17" s="69"/>
      <c r="BI17" s="69"/>
      <c r="BJ17" s="69"/>
      <c r="BK17" s="69"/>
      <c r="BL17" s="69"/>
      <c r="BM17" s="69">
        <v>52000</v>
      </c>
      <c r="BN17" s="69"/>
      <c r="BO17" s="69"/>
      <c r="BP17" s="69"/>
      <c r="BQ17" s="69"/>
      <c r="BR17" s="69"/>
      <c r="BS17" s="29"/>
      <c r="BT17" s="29">
        <f>18000000+500000</f>
        <v>18500000</v>
      </c>
      <c r="BU17" s="29">
        <f>25000000-24900000+5000000</f>
        <v>5100000</v>
      </c>
      <c r="BV17" s="29"/>
      <c r="BW17" s="29"/>
      <c r="BX17" s="29"/>
      <c r="BY17" s="29">
        <f t="shared" si="6"/>
        <v>2013697283.4200001</v>
      </c>
      <c r="BZ17" s="29"/>
      <c r="CA17" s="29"/>
      <c r="CB17" s="29"/>
      <c r="CC17" s="69"/>
      <c r="CD17" s="69"/>
      <c r="CE17" s="69"/>
      <c r="CF17" s="69"/>
      <c r="CG17" s="69">
        <f>73086</f>
        <v>73086</v>
      </c>
      <c r="CH17" s="69"/>
      <c r="CI17" s="69"/>
      <c r="CJ17" s="69"/>
      <c r="CK17" s="69">
        <v>4000000</v>
      </c>
      <c r="CL17" s="69">
        <v>1000000</v>
      </c>
      <c r="CM17" s="69"/>
      <c r="CN17" s="69"/>
      <c r="CO17" s="69"/>
      <c r="CP17" s="69"/>
      <c r="CQ17" s="69"/>
      <c r="CR17" s="69"/>
      <c r="CS17" s="69"/>
      <c r="CT17" s="29"/>
      <c r="CU17" s="29"/>
      <c r="CV17" s="29"/>
      <c r="CW17" s="29">
        <f t="shared" si="0"/>
        <v>5073086</v>
      </c>
      <c r="CX17" s="69"/>
    </row>
    <row r="18" spans="1:102" ht="59.25" customHeight="1" x14ac:dyDescent="0.8">
      <c r="A18" s="12" t="s">
        <v>17</v>
      </c>
      <c r="B18" s="13" t="s">
        <v>54</v>
      </c>
      <c r="C18" s="28"/>
      <c r="D18" s="28"/>
      <c r="E18" s="28"/>
      <c r="F18" s="99">
        <f>68289300+182000-387200-8634000-369900</f>
        <v>59080200</v>
      </c>
      <c r="G18" s="99">
        <f>106012100-6421400-1903631.12</f>
        <v>97687068.879999995</v>
      </c>
      <c r="H18" s="99">
        <f>162500+62400-22000+2700-8100+3218.51+9400</f>
        <v>210118.51</v>
      </c>
      <c r="I18" s="91">
        <f>5284823+1304000-917430</f>
        <v>5671393</v>
      </c>
      <c r="J18" s="69">
        <f>210118</f>
        <v>210118</v>
      </c>
      <c r="K18" s="69">
        <v>200000</v>
      </c>
      <c r="L18" s="69"/>
      <c r="M18" s="29">
        <f t="shared" si="1"/>
        <v>0</v>
      </c>
      <c r="N18" s="69"/>
      <c r="O18" s="69"/>
      <c r="P18" s="69"/>
      <c r="Q18" s="69"/>
      <c r="R18" s="69"/>
      <c r="S18" s="69">
        <f>952411+515042+225762</f>
        <v>1693215</v>
      </c>
      <c r="T18" s="69">
        <v>143618</v>
      </c>
      <c r="U18" s="69">
        <f>1354389+300000</f>
        <v>1654389</v>
      </c>
      <c r="V18" s="69"/>
      <c r="W18" s="69"/>
      <c r="X18" s="69"/>
      <c r="Y18" s="69">
        <f>204000+255000</f>
        <v>459000</v>
      </c>
      <c r="Z18" s="29"/>
      <c r="AA18" s="29"/>
      <c r="AB18" s="29">
        <f t="shared" si="2"/>
        <v>564846</v>
      </c>
      <c r="AC18" s="29"/>
      <c r="AD18" s="110">
        <v>564846</v>
      </c>
      <c r="AE18" s="29">
        <f t="shared" si="3"/>
        <v>7363520</v>
      </c>
      <c r="AF18" s="69">
        <v>7090080</v>
      </c>
      <c r="AG18" s="69"/>
      <c r="AH18" s="69">
        <f>154665-3510</f>
        <v>151155</v>
      </c>
      <c r="AI18" s="69"/>
      <c r="AJ18" s="69">
        <f>122285</f>
        <v>122285</v>
      </c>
      <c r="AK18" s="69"/>
      <c r="AL18" s="69"/>
      <c r="AM18" s="29">
        <f t="shared" si="4"/>
        <v>453614</v>
      </c>
      <c r="AN18" s="104">
        <f>275499-27985</f>
        <v>247514</v>
      </c>
      <c r="AO18" s="29">
        <v>206100</v>
      </c>
      <c r="AP18" s="29">
        <f t="shared" si="5"/>
        <v>872880</v>
      </c>
      <c r="AQ18" s="69">
        <v>314748</v>
      </c>
      <c r="AR18" s="69">
        <v>370629</v>
      </c>
      <c r="AS18" s="69">
        <v>153931</v>
      </c>
      <c r="AT18" s="69">
        <v>33572</v>
      </c>
      <c r="AU18" s="69"/>
      <c r="AV18" s="69"/>
      <c r="AW18" s="69"/>
      <c r="AX18" s="69"/>
      <c r="AY18" s="69"/>
      <c r="AZ18" s="69"/>
      <c r="BA18" s="69"/>
      <c r="BB18" s="69"/>
      <c r="BC18" s="69"/>
      <c r="BD18" s="69"/>
      <c r="BE18" s="69"/>
      <c r="BF18" s="69"/>
      <c r="BG18" s="69">
        <f>1020000+100000</f>
        <v>1120000</v>
      </c>
      <c r="BH18" s="69"/>
      <c r="BI18" s="69"/>
      <c r="BJ18" s="69"/>
      <c r="BK18" s="69"/>
      <c r="BL18" s="69">
        <f>550000</f>
        <v>550000</v>
      </c>
      <c r="BM18" s="69"/>
      <c r="BN18" s="69"/>
      <c r="BO18" s="69"/>
      <c r="BP18" s="69"/>
      <c r="BQ18" s="69"/>
      <c r="BR18" s="69"/>
      <c r="BS18" s="29"/>
      <c r="BT18" s="29"/>
      <c r="BU18" s="29"/>
      <c r="BV18" s="29"/>
      <c r="BW18" s="29"/>
      <c r="BX18" s="29"/>
      <c r="BY18" s="29">
        <f t="shared" si="6"/>
        <v>177933980.38999999</v>
      </c>
      <c r="BZ18" s="29"/>
      <c r="CA18" s="29"/>
      <c r="CB18" s="29"/>
      <c r="CC18" s="69"/>
      <c r="CD18" s="69">
        <f>1500000+2500000</f>
        <v>4000000</v>
      </c>
      <c r="CE18" s="69"/>
      <c r="CF18" s="69"/>
      <c r="CG18" s="69"/>
      <c r="CH18" s="69"/>
      <c r="CI18" s="69"/>
      <c r="CJ18" s="69">
        <v>150000</v>
      </c>
      <c r="CK18" s="69"/>
      <c r="CL18" s="69"/>
      <c r="CM18" s="69"/>
      <c r="CN18" s="69"/>
      <c r="CO18" s="69">
        <v>33000</v>
      </c>
      <c r="CP18" s="69"/>
      <c r="CQ18" s="69"/>
      <c r="CR18" s="69"/>
      <c r="CS18" s="69">
        <v>25000</v>
      </c>
      <c r="CT18" s="29"/>
      <c r="CU18" s="29">
        <v>2000000</v>
      </c>
      <c r="CV18" s="29"/>
      <c r="CW18" s="29">
        <f>SUM(BZ18:CV18)</f>
        <v>6208000</v>
      </c>
      <c r="CX18" s="69"/>
    </row>
    <row r="19" spans="1:102" ht="59.25" customHeight="1" x14ac:dyDescent="0.8">
      <c r="A19" s="12" t="s">
        <v>18</v>
      </c>
      <c r="B19" s="13" t="s">
        <v>55</v>
      </c>
      <c r="C19" s="28"/>
      <c r="D19" s="28"/>
      <c r="E19" s="28"/>
      <c r="F19" s="99">
        <f>165085300+1263000+1702500-20934900-1260100</f>
        <v>145855800</v>
      </c>
      <c r="G19" s="99">
        <f>246693200-142000-15824400-4473605.23</f>
        <v>226253194.77000001</v>
      </c>
      <c r="H19" s="99">
        <f>182200-71700+9800-11200-5200+2725.45+3000</f>
        <v>109625.45</v>
      </c>
      <c r="I19" s="91">
        <f>3898869-475164</f>
        <v>3423705</v>
      </c>
      <c r="J19" s="69">
        <f>715788</f>
        <v>715788</v>
      </c>
      <c r="K19" s="69"/>
      <c r="L19" s="69"/>
      <c r="M19" s="29">
        <f t="shared" si="1"/>
        <v>0</v>
      </c>
      <c r="N19" s="69"/>
      <c r="O19" s="69"/>
      <c r="P19" s="69"/>
      <c r="Q19" s="69"/>
      <c r="R19" s="69"/>
      <c r="S19" s="69">
        <f>2454165+204514+409028</f>
        <v>3067707</v>
      </c>
      <c r="T19" s="69">
        <v>370074</v>
      </c>
      <c r="U19" s="69">
        <f>2729470+500000</f>
        <v>3229470</v>
      </c>
      <c r="V19" s="69"/>
      <c r="W19" s="69"/>
      <c r="X19" s="69"/>
      <c r="Y19" s="69">
        <f>607745.45</f>
        <v>607745.44999999995</v>
      </c>
      <c r="Z19" s="29"/>
      <c r="AA19" s="29"/>
      <c r="AB19" s="29">
        <f t="shared" si="2"/>
        <v>790784</v>
      </c>
      <c r="AC19" s="29"/>
      <c r="AD19" s="110">
        <v>790784</v>
      </c>
      <c r="AE19" s="29">
        <f t="shared" si="3"/>
        <v>511445</v>
      </c>
      <c r="AF19" s="69"/>
      <c r="AG19" s="69"/>
      <c r="AH19" s="69">
        <f>403848-9165</f>
        <v>394683</v>
      </c>
      <c r="AI19" s="69"/>
      <c r="AJ19" s="69"/>
      <c r="AK19" s="69">
        <f>116762</f>
        <v>116762</v>
      </c>
      <c r="AL19" s="69"/>
      <c r="AM19" s="29">
        <f t="shared" si="4"/>
        <v>1051257</v>
      </c>
      <c r="AN19" s="104">
        <f>2479491-1634334</f>
        <v>845157</v>
      </c>
      <c r="AO19" s="29">
        <v>206100</v>
      </c>
      <c r="AP19" s="29">
        <f t="shared" si="5"/>
        <v>2273785</v>
      </c>
      <c r="AQ19" s="69">
        <v>821842</v>
      </c>
      <c r="AR19" s="69">
        <v>1002330</v>
      </c>
      <c r="AS19" s="69">
        <v>363837</v>
      </c>
      <c r="AT19" s="69">
        <v>85776</v>
      </c>
      <c r="AU19" s="69"/>
      <c r="AV19" s="69"/>
      <c r="AW19" s="69"/>
      <c r="AX19" s="69"/>
      <c r="AY19" s="69"/>
      <c r="AZ19" s="69"/>
      <c r="BA19" s="69"/>
      <c r="BB19" s="69"/>
      <c r="BC19" s="69"/>
      <c r="BD19" s="69"/>
      <c r="BE19" s="69"/>
      <c r="BF19" s="69"/>
      <c r="BG19" s="69">
        <f>1700000-10000+270000</f>
        <v>1960000</v>
      </c>
      <c r="BH19" s="69">
        <f>119600</f>
        <v>119600</v>
      </c>
      <c r="BI19" s="69"/>
      <c r="BJ19" s="69">
        <f>1000000-180829.49</f>
        <v>819170.51</v>
      </c>
      <c r="BK19" s="69"/>
      <c r="BL19" s="69">
        <f>1100000-5918</f>
        <v>1094082</v>
      </c>
      <c r="BM19" s="69">
        <v>13000</v>
      </c>
      <c r="BN19" s="69"/>
      <c r="BO19" s="69"/>
      <c r="BP19" s="69"/>
      <c r="BQ19" s="69"/>
      <c r="BR19" s="69"/>
      <c r="BS19" s="29">
        <v>1262409</v>
      </c>
      <c r="BT19" s="29">
        <f>8600000-8600000</f>
        <v>0</v>
      </c>
      <c r="BU19" s="29"/>
      <c r="BV19" s="29"/>
      <c r="BW19" s="29"/>
      <c r="BX19" s="29"/>
      <c r="BY19" s="29">
        <f t="shared" si="6"/>
        <v>393528642.17999995</v>
      </c>
      <c r="BZ19" s="29"/>
      <c r="CA19" s="29"/>
      <c r="CB19" s="29"/>
      <c r="CC19" s="69"/>
      <c r="CD19" s="69">
        <f>1000000+16500000</f>
        <v>17500000</v>
      </c>
      <c r="CE19" s="69"/>
      <c r="CF19" s="69">
        <f>12000000-9500000</f>
        <v>2500000</v>
      </c>
      <c r="CG19" s="69"/>
      <c r="CH19" s="69">
        <f>112600</f>
        <v>112600</v>
      </c>
      <c r="CI19" s="69"/>
      <c r="CJ19" s="69"/>
      <c r="CK19" s="69"/>
      <c r="CL19" s="69"/>
      <c r="CM19" s="69"/>
      <c r="CN19" s="69"/>
      <c r="CO19" s="69"/>
      <c r="CP19" s="69"/>
      <c r="CQ19" s="69"/>
      <c r="CR19" s="69"/>
      <c r="CS19" s="69"/>
      <c r="CT19" s="29"/>
      <c r="CU19" s="29"/>
      <c r="CV19" s="29"/>
      <c r="CW19" s="29">
        <f t="shared" si="0"/>
        <v>20112600</v>
      </c>
      <c r="CX19" s="69"/>
    </row>
    <row r="20" spans="1:102" ht="55.5" customHeight="1" x14ac:dyDescent="0.8">
      <c r="A20" s="12" t="s">
        <v>19</v>
      </c>
      <c r="B20" s="13" t="s">
        <v>56</v>
      </c>
      <c r="C20" s="28"/>
      <c r="D20" s="28"/>
      <c r="E20" s="28"/>
      <c r="F20" s="99">
        <f>97846100+621900+233000-12053500-728800</f>
        <v>85918700</v>
      </c>
      <c r="G20" s="99">
        <f>151767500-8660200-2569943.14</f>
        <v>140537356.86000001</v>
      </c>
      <c r="H20" s="99">
        <f>148400+17000-17300+16200+1500+3439.38+11800</f>
        <v>181039.38</v>
      </c>
      <c r="I20" s="91">
        <f>1686435-213329</f>
        <v>1473106</v>
      </c>
      <c r="J20" s="69">
        <f>459779</f>
        <v>459779</v>
      </c>
      <c r="K20" s="69"/>
      <c r="L20" s="69"/>
      <c r="M20" s="29">
        <f t="shared" si="1"/>
        <v>0</v>
      </c>
      <c r="N20" s="69"/>
      <c r="O20" s="69"/>
      <c r="P20" s="69"/>
      <c r="Q20" s="69"/>
      <c r="R20" s="69"/>
      <c r="S20" s="69">
        <f>1309972+381384+287864+304496</f>
        <v>2283716</v>
      </c>
      <c r="T20" s="69">
        <v>197536</v>
      </c>
      <c r="U20" s="69">
        <f>1625919+360000</f>
        <v>1985919</v>
      </c>
      <c r="V20" s="69"/>
      <c r="W20" s="69"/>
      <c r="X20" s="69">
        <f>784883.96-245248.96</f>
        <v>539635</v>
      </c>
      <c r="Y20" s="69"/>
      <c r="Z20" s="29"/>
      <c r="AA20" s="29">
        <f>938554</f>
        <v>938554</v>
      </c>
      <c r="AB20" s="29">
        <f t="shared" si="2"/>
        <v>451876</v>
      </c>
      <c r="AC20" s="29"/>
      <c r="AD20" s="110">
        <v>451876</v>
      </c>
      <c r="AE20" s="29">
        <f t="shared" si="3"/>
        <v>399403</v>
      </c>
      <c r="AF20" s="69"/>
      <c r="AG20" s="69"/>
      <c r="AH20" s="69">
        <f>283553-6435</f>
        <v>277118</v>
      </c>
      <c r="AI20" s="69"/>
      <c r="AJ20" s="69">
        <f>122285</f>
        <v>122285</v>
      </c>
      <c r="AK20" s="69"/>
      <c r="AL20" s="69"/>
      <c r="AM20" s="29">
        <f t="shared" si="4"/>
        <v>724052</v>
      </c>
      <c r="AN20" s="104">
        <f>979552-461600</f>
        <v>517952</v>
      </c>
      <c r="AO20" s="29">
        <v>206100</v>
      </c>
      <c r="AP20" s="29">
        <f t="shared" si="5"/>
        <v>1511408</v>
      </c>
      <c r="AQ20" s="69">
        <v>577038</v>
      </c>
      <c r="AR20" s="69">
        <v>653457</v>
      </c>
      <c r="AS20" s="69">
        <v>237893</v>
      </c>
      <c r="AT20" s="69">
        <v>43020</v>
      </c>
      <c r="AU20" s="69"/>
      <c r="AV20" s="69"/>
      <c r="AW20" s="69"/>
      <c r="AX20" s="69"/>
      <c r="AY20" s="69"/>
      <c r="AZ20" s="69"/>
      <c r="BA20" s="69"/>
      <c r="BB20" s="69"/>
      <c r="BC20" s="69"/>
      <c r="BD20" s="69"/>
      <c r="BE20" s="69"/>
      <c r="BF20" s="69"/>
      <c r="BG20" s="69">
        <f>1315000+60000</f>
        <v>1375000</v>
      </c>
      <c r="BH20" s="69">
        <f>34000</f>
        <v>34000</v>
      </c>
      <c r="BI20" s="69"/>
      <c r="BJ20" s="69"/>
      <c r="BK20" s="69"/>
      <c r="BL20" s="69">
        <v>1100000</v>
      </c>
      <c r="BM20" s="69"/>
      <c r="BN20" s="69"/>
      <c r="BO20" s="69"/>
      <c r="BP20" s="69"/>
      <c r="BQ20" s="69"/>
      <c r="BR20" s="69"/>
      <c r="BS20" s="29"/>
      <c r="BT20" s="29"/>
      <c r="BU20" s="29">
        <f>1066820</f>
        <v>1066820</v>
      </c>
      <c r="BV20" s="29"/>
      <c r="BW20" s="29"/>
      <c r="BX20" s="29"/>
      <c r="BY20" s="29">
        <f t="shared" si="6"/>
        <v>241177900.24000001</v>
      </c>
      <c r="BZ20" s="29"/>
      <c r="CA20" s="29"/>
      <c r="CB20" s="29"/>
      <c r="CC20" s="69"/>
      <c r="CD20" s="69"/>
      <c r="CE20" s="69"/>
      <c r="CF20" s="69"/>
      <c r="CG20" s="69"/>
      <c r="CH20" s="69"/>
      <c r="CI20" s="69"/>
      <c r="CJ20" s="69"/>
      <c r="CK20" s="69"/>
      <c r="CL20" s="69"/>
      <c r="CM20" s="69"/>
      <c r="CN20" s="69"/>
      <c r="CO20" s="69"/>
      <c r="CP20" s="69"/>
      <c r="CQ20" s="69"/>
      <c r="CR20" s="69"/>
      <c r="CS20" s="69">
        <v>70700</v>
      </c>
      <c r="CT20" s="29"/>
      <c r="CU20" s="29"/>
      <c r="CV20" s="29"/>
      <c r="CW20" s="29">
        <f t="shared" si="0"/>
        <v>70700</v>
      </c>
      <c r="CX20" s="69"/>
    </row>
    <row r="21" spans="1:102" ht="59.25" customHeight="1" x14ac:dyDescent="0.8">
      <c r="A21" s="12" t="s">
        <v>20</v>
      </c>
      <c r="B21" s="13" t="s">
        <v>83</v>
      </c>
      <c r="C21" s="28"/>
      <c r="D21" s="28"/>
      <c r="E21" s="28"/>
      <c r="F21" s="99">
        <f>57851900+873100+684900-7531400-378100</f>
        <v>51500400</v>
      </c>
      <c r="G21" s="99">
        <f>83225100+3495800-1761222.85</f>
        <v>84959677.150000006</v>
      </c>
      <c r="H21" s="99">
        <f>270100+104700-39100-30000-11500-551.5+6400</f>
        <v>300048.5</v>
      </c>
      <c r="I21" s="91">
        <f>1299180-240033</f>
        <v>1059147</v>
      </c>
      <c r="J21" s="69">
        <f>235389</f>
        <v>235389</v>
      </c>
      <c r="K21" s="69"/>
      <c r="L21" s="69"/>
      <c r="M21" s="29">
        <f t="shared" si="1"/>
        <v>0</v>
      </c>
      <c r="N21" s="69"/>
      <c r="O21" s="69"/>
      <c r="P21" s="69"/>
      <c r="Q21" s="69"/>
      <c r="R21" s="69"/>
      <c r="S21" s="69">
        <f>799635+232855+310652+206638</f>
        <v>1549780</v>
      </c>
      <c r="T21" s="69">
        <v>120580</v>
      </c>
      <c r="U21" s="69">
        <f>1386440+250000</f>
        <v>1636440</v>
      </c>
      <c r="V21" s="69"/>
      <c r="W21" s="69"/>
      <c r="X21" s="69"/>
      <c r="Y21" s="69">
        <f>668000</f>
        <v>668000</v>
      </c>
      <c r="Z21" s="29"/>
      <c r="AA21" s="29"/>
      <c r="AB21" s="29">
        <f t="shared" si="2"/>
        <v>112969</v>
      </c>
      <c r="AC21" s="29"/>
      <c r="AD21" s="110">
        <v>112969</v>
      </c>
      <c r="AE21" s="29">
        <f t="shared" si="3"/>
        <v>117565</v>
      </c>
      <c r="AF21" s="69"/>
      <c r="AG21" s="69"/>
      <c r="AH21" s="69">
        <f>120295-2730</f>
        <v>117565</v>
      </c>
      <c r="AI21" s="69"/>
      <c r="AJ21" s="69"/>
      <c r="AK21" s="69"/>
      <c r="AL21" s="69"/>
      <c r="AM21" s="29">
        <f t="shared" si="4"/>
        <v>868740</v>
      </c>
      <c r="AN21" s="104">
        <f>1224440-561800</f>
        <v>662640</v>
      </c>
      <c r="AO21" s="29">
        <v>206100</v>
      </c>
      <c r="AP21" s="29">
        <f t="shared" si="5"/>
        <v>685172</v>
      </c>
      <c r="AQ21" s="69">
        <v>244804</v>
      </c>
      <c r="AR21" s="69">
        <v>281274</v>
      </c>
      <c r="AS21" s="69">
        <f>265881-139937</f>
        <v>125944</v>
      </c>
      <c r="AT21" s="69">
        <v>33150</v>
      </c>
      <c r="AU21" s="69"/>
      <c r="AV21" s="69"/>
      <c r="AW21" s="69"/>
      <c r="AX21" s="69"/>
      <c r="AY21" s="69"/>
      <c r="AZ21" s="69"/>
      <c r="BA21" s="69"/>
      <c r="BB21" s="69"/>
      <c r="BC21" s="69"/>
      <c r="BD21" s="69"/>
      <c r="BE21" s="69"/>
      <c r="BF21" s="69"/>
      <c r="BG21" s="69">
        <f>1050000+87000</f>
        <v>1137000</v>
      </c>
      <c r="BH21" s="69"/>
      <c r="BI21" s="69">
        <v>1200000</v>
      </c>
      <c r="BJ21" s="69">
        <v>1000000</v>
      </c>
      <c r="BK21" s="69">
        <v>450000</v>
      </c>
      <c r="BL21" s="69">
        <v>550000</v>
      </c>
      <c r="BM21" s="69"/>
      <c r="BN21" s="69"/>
      <c r="BO21" s="69"/>
      <c r="BP21" s="69"/>
      <c r="BQ21" s="69"/>
      <c r="BR21" s="69"/>
      <c r="BS21" s="29">
        <f>1642877-213000-400000</f>
        <v>1029877</v>
      </c>
      <c r="BT21" s="29"/>
      <c r="BU21" s="29"/>
      <c r="BV21" s="29"/>
      <c r="BW21" s="29"/>
      <c r="BX21" s="29"/>
      <c r="BY21" s="29">
        <f t="shared" si="6"/>
        <v>149180784.65000001</v>
      </c>
      <c r="BZ21" s="29"/>
      <c r="CA21" s="29"/>
      <c r="CB21" s="29"/>
      <c r="CC21" s="69"/>
      <c r="CD21" s="69">
        <f>5000000-400000</f>
        <v>4600000</v>
      </c>
      <c r="CE21" s="69"/>
      <c r="CF21" s="69"/>
      <c r="CG21" s="69"/>
      <c r="CH21" s="69">
        <v>41400</v>
      </c>
      <c r="CI21" s="69"/>
      <c r="CJ21" s="69"/>
      <c r="CK21" s="69"/>
      <c r="CL21" s="69"/>
      <c r="CM21" s="69"/>
      <c r="CN21" s="69"/>
      <c r="CO21" s="69"/>
      <c r="CP21" s="69"/>
      <c r="CQ21" s="69"/>
      <c r="CR21" s="69"/>
      <c r="CS21" s="69"/>
      <c r="CT21" s="29"/>
      <c r="CU21" s="29"/>
      <c r="CV21" s="29"/>
      <c r="CW21" s="29">
        <f t="shared" si="0"/>
        <v>4641400</v>
      </c>
      <c r="CX21" s="69"/>
    </row>
    <row r="22" spans="1:102" ht="66.75" customHeight="1" x14ac:dyDescent="0.8">
      <c r="A22" s="12" t="s">
        <v>21</v>
      </c>
      <c r="B22" s="13" t="s">
        <v>57</v>
      </c>
      <c r="C22" s="28"/>
      <c r="D22" s="28"/>
      <c r="E22" s="28"/>
      <c r="F22" s="99">
        <f>138628100-2048900+225200-17549500-892800</f>
        <v>118362100</v>
      </c>
      <c r="G22" s="99">
        <f>211636100-20197900-3626801.93</f>
        <v>187811398.06999999</v>
      </c>
      <c r="H22" s="99">
        <f>650100+99400-28100-37000+95500-9909.77+41000</f>
        <v>810990.23</v>
      </c>
      <c r="I22" s="91">
        <f>2595485+885000-729535</f>
        <v>2750950</v>
      </c>
      <c r="J22" s="69">
        <f>7000000+875131</f>
        <v>7875131</v>
      </c>
      <c r="K22" s="69"/>
      <c r="L22" s="69"/>
      <c r="M22" s="29">
        <f t="shared" si="1"/>
        <v>0</v>
      </c>
      <c r="N22" s="69"/>
      <c r="O22" s="69"/>
      <c r="P22" s="69"/>
      <c r="Q22" s="69"/>
      <c r="R22" s="69"/>
      <c r="S22" s="69">
        <f>2584187+592150+264695+529390</f>
        <v>3970422</v>
      </c>
      <c r="T22" s="69">
        <v>389681</v>
      </c>
      <c r="U22" s="69">
        <f>2578271+150000+232168+460000</f>
        <v>3420439</v>
      </c>
      <c r="V22" s="91">
        <f>796438</f>
        <v>796438</v>
      </c>
      <c r="W22" s="69"/>
      <c r="X22" s="69"/>
      <c r="Y22" s="69"/>
      <c r="Z22" s="29"/>
      <c r="AA22" s="29"/>
      <c r="AB22" s="29">
        <f t="shared" si="2"/>
        <v>1581567</v>
      </c>
      <c r="AC22" s="29"/>
      <c r="AD22" s="110">
        <v>1581567</v>
      </c>
      <c r="AE22" s="29">
        <f t="shared" si="3"/>
        <v>993568</v>
      </c>
      <c r="AF22" s="69"/>
      <c r="AG22" s="69"/>
      <c r="AH22" s="69">
        <f>378070-8580</f>
        <v>369490</v>
      </c>
      <c r="AI22" s="69">
        <f>400000</f>
        <v>400000</v>
      </c>
      <c r="AJ22" s="69">
        <f>122285</f>
        <v>122285</v>
      </c>
      <c r="AK22" s="69">
        <f>101793</f>
        <v>101793</v>
      </c>
      <c r="AL22" s="69"/>
      <c r="AM22" s="29">
        <f t="shared" si="4"/>
        <v>608093</v>
      </c>
      <c r="AN22" s="104">
        <f>520387-118394</f>
        <v>401993</v>
      </c>
      <c r="AO22" s="29">
        <v>206100</v>
      </c>
      <c r="AP22" s="29">
        <f t="shared" si="5"/>
        <v>2054618</v>
      </c>
      <c r="AQ22" s="69">
        <v>769384</v>
      </c>
      <c r="AR22" s="69">
        <v>947163</v>
      </c>
      <c r="AS22" s="69">
        <f>69969+195912</f>
        <v>265881</v>
      </c>
      <c r="AT22" s="69">
        <v>72190</v>
      </c>
      <c r="AU22" s="69"/>
      <c r="AV22" s="69"/>
      <c r="AW22" s="69"/>
      <c r="AX22" s="69"/>
      <c r="AY22" s="69"/>
      <c r="AZ22" s="69"/>
      <c r="BA22" s="69"/>
      <c r="BB22" s="69"/>
      <c r="BC22" s="69"/>
      <c r="BD22" s="69"/>
      <c r="BE22" s="69"/>
      <c r="BF22" s="69"/>
      <c r="BG22" s="69">
        <f>2700000+300000</f>
        <v>3000000</v>
      </c>
      <c r="BH22" s="69"/>
      <c r="BI22" s="69"/>
      <c r="BJ22" s="69">
        <v>1000000</v>
      </c>
      <c r="BK22" s="69"/>
      <c r="BL22" s="69">
        <f>550000</f>
        <v>550000</v>
      </c>
      <c r="BM22" s="69"/>
      <c r="BN22" s="69"/>
      <c r="BO22" s="69"/>
      <c r="BP22" s="69"/>
      <c r="BQ22" s="69"/>
      <c r="BR22" s="69"/>
      <c r="BS22" s="29">
        <v>2282063</v>
      </c>
      <c r="BT22" s="29"/>
      <c r="BU22" s="29"/>
      <c r="BV22" s="29"/>
      <c r="BW22" s="29"/>
      <c r="BX22" s="29"/>
      <c r="BY22" s="29">
        <f t="shared" si="6"/>
        <v>338257458.30000001</v>
      </c>
      <c r="BZ22" s="29"/>
      <c r="CA22" s="29"/>
      <c r="CB22" s="29"/>
      <c r="CC22" s="69"/>
      <c r="CD22" s="69"/>
      <c r="CE22" s="69"/>
      <c r="CF22" s="69"/>
      <c r="CG22" s="69"/>
      <c r="CH22" s="69">
        <v>106700</v>
      </c>
      <c r="CI22" s="69"/>
      <c r="CJ22" s="69"/>
      <c r="CK22" s="69"/>
      <c r="CL22" s="69"/>
      <c r="CM22" s="69"/>
      <c r="CN22" s="69"/>
      <c r="CO22" s="69"/>
      <c r="CP22" s="69"/>
      <c r="CQ22" s="69">
        <f>100000</f>
        <v>100000</v>
      </c>
      <c r="CR22" s="69"/>
      <c r="CS22" s="69"/>
      <c r="CT22" s="29"/>
      <c r="CU22" s="29"/>
      <c r="CV22" s="29"/>
      <c r="CW22" s="29">
        <f t="shared" si="0"/>
        <v>206700</v>
      </c>
      <c r="CX22" s="69"/>
    </row>
    <row r="23" spans="1:102" ht="59.25" customHeight="1" x14ac:dyDescent="0.8">
      <c r="A23" s="12" t="s">
        <v>22</v>
      </c>
      <c r="B23" s="13" t="s">
        <v>58</v>
      </c>
      <c r="C23" s="28"/>
      <c r="D23" s="28"/>
      <c r="E23" s="28"/>
      <c r="F23" s="99">
        <f>29833400-656100-121000-3902600-307700</f>
        <v>24846000</v>
      </c>
      <c r="G23" s="99">
        <f>16588400+142000+2950900-431000.32</f>
        <v>19250299.68</v>
      </c>
      <c r="H23" s="99">
        <v>0</v>
      </c>
      <c r="I23" s="91">
        <f>2133924-394257</f>
        <v>1739667</v>
      </c>
      <c r="J23" s="69">
        <f>216821</f>
        <v>216821</v>
      </c>
      <c r="K23" s="69"/>
      <c r="L23" s="69"/>
      <c r="M23" s="29">
        <f t="shared" si="1"/>
        <v>0</v>
      </c>
      <c r="N23" s="69"/>
      <c r="O23" s="69"/>
      <c r="P23" s="69"/>
      <c r="Q23" s="69"/>
      <c r="R23" s="69"/>
      <c r="S23" s="69">
        <f>559095+175360+109565+129850</f>
        <v>973870</v>
      </c>
      <c r="T23" s="69">
        <v>84308</v>
      </c>
      <c r="U23" s="69">
        <f>721981-85000+160000</f>
        <v>796981</v>
      </c>
      <c r="V23" s="69"/>
      <c r="W23" s="69"/>
      <c r="X23" s="69"/>
      <c r="Y23" s="69">
        <f>196000</f>
        <v>196000</v>
      </c>
      <c r="Z23" s="29"/>
      <c r="AA23" s="29"/>
      <c r="AB23" s="29">
        <f t="shared" si="2"/>
        <v>338907</v>
      </c>
      <c r="AC23" s="29"/>
      <c r="AD23" s="110">
        <v>338907</v>
      </c>
      <c r="AE23" s="29">
        <f t="shared" si="3"/>
        <v>231453</v>
      </c>
      <c r="AF23" s="69"/>
      <c r="AG23" s="69"/>
      <c r="AH23" s="69">
        <f>111703-2535</f>
        <v>109168</v>
      </c>
      <c r="AI23" s="69"/>
      <c r="AJ23" s="69">
        <f>122285</f>
        <v>122285</v>
      </c>
      <c r="AK23" s="69"/>
      <c r="AL23" s="69"/>
      <c r="AM23" s="29">
        <f t="shared" si="4"/>
        <v>405265</v>
      </c>
      <c r="AN23" s="104">
        <f>459165-260000</f>
        <v>199165</v>
      </c>
      <c r="AO23" s="29">
        <v>206100</v>
      </c>
      <c r="AP23" s="29">
        <f t="shared" si="5"/>
        <v>575627</v>
      </c>
      <c r="AQ23" s="69">
        <v>227318</v>
      </c>
      <c r="AR23" s="69">
        <v>256410</v>
      </c>
      <c r="AS23" s="69">
        <f>125944-55975</f>
        <v>69969</v>
      </c>
      <c r="AT23" s="69">
        <v>21930</v>
      </c>
      <c r="AU23" s="69"/>
      <c r="AV23" s="69"/>
      <c r="AW23" s="69"/>
      <c r="AX23" s="69"/>
      <c r="AY23" s="69"/>
      <c r="AZ23" s="69"/>
      <c r="BA23" s="69"/>
      <c r="BB23" s="69"/>
      <c r="BC23" s="69"/>
      <c r="BD23" s="69"/>
      <c r="BE23" s="69"/>
      <c r="BF23" s="69"/>
      <c r="BG23" s="69">
        <f>750000+75000</f>
        <v>825000</v>
      </c>
      <c r="BH23" s="69"/>
      <c r="BI23" s="69"/>
      <c r="BJ23" s="69">
        <v>1000000</v>
      </c>
      <c r="BK23" s="69">
        <v>900000</v>
      </c>
      <c r="BL23" s="69">
        <v>1100000</v>
      </c>
      <c r="BM23" s="69"/>
      <c r="BN23" s="69"/>
      <c r="BO23" s="69"/>
      <c r="BP23" s="69"/>
      <c r="BQ23" s="69"/>
      <c r="BR23" s="69"/>
      <c r="BS23" s="29">
        <f>1604820-219639.51</f>
        <v>1385180.49</v>
      </c>
      <c r="BT23" s="29"/>
      <c r="BU23" s="29"/>
      <c r="BV23" s="29"/>
      <c r="BW23" s="29"/>
      <c r="BX23" s="29"/>
      <c r="BY23" s="29">
        <f t="shared" si="6"/>
        <v>54865379.170000002</v>
      </c>
      <c r="BZ23" s="29"/>
      <c r="CA23" s="29"/>
      <c r="CB23" s="29"/>
      <c r="CC23" s="69"/>
      <c r="CD23" s="69"/>
      <c r="CE23" s="69"/>
      <c r="CF23" s="69"/>
      <c r="CG23" s="69"/>
      <c r="CH23" s="69">
        <v>28500</v>
      </c>
      <c r="CI23" s="69"/>
      <c r="CJ23" s="69"/>
      <c r="CK23" s="69"/>
      <c r="CL23" s="69"/>
      <c r="CM23" s="69"/>
      <c r="CN23" s="69"/>
      <c r="CO23" s="69"/>
      <c r="CP23" s="69"/>
      <c r="CQ23" s="69"/>
      <c r="CR23" s="69"/>
      <c r="CS23" s="69"/>
      <c r="CT23" s="29"/>
      <c r="CU23" s="29"/>
      <c r="CV23" s="29"/>
      <c r="CW23" s="29">
        <f t="shared" si="0"/>
        <v>28500</v>
      </c>
      <c r="CX23" s="69"/>
    </row>
    <row r="24" spans="1:102" ht="55.5" customHeight="1" x14ac:dyDescent="0.8">
      <c r="A24" s="12" t="s">
        <v>23</v>
      </c>
      <c r="B24" s="13" t="s">
        <v>59</v>
      </c>
      <c r="C24" s="28"/>
      <c r="D24" s="28"/>
      <c r="E24" s="28"/>
      <c r="F24" s="99">
        <f>45505000+888600+694600-5867300-501300</f>
        <v>40719600</v>
      </c>
      <c r="G24" s="99">
        <f>84260400-2952400-1581966.54</f>
        <v>79726033.459999993</v>
      </c>
      <c r="H24" s="99">
        <f>435800-20300-18100+10200-11400+774.5+22700</f>
        <v>419674.5</v>
      </c>
      <c r="I24" s="91">
        <f>1867605-345054</f>
        <v>1522551</v>
      </c>
      <c r="J24" s="69">
        <f>167982</f>
        <v>167982</v>
      </c>
      <c r="K24" s="69"/>
      <c r="L24" s="69"/>
      <c r="M24" s="29">
        <f t="shared" si="1"/>
        <v>0</v>
      </c>
      <c r="N24" s="69"/>
      <c r="O24" s="69"/>
      <c r="P24" s="69"/>
      <c r="Q24" s="69"/>
      <c r="R24" s="69"/>
      <c r="S24" s="69"/>
      <c r="T24" s="69"/>
      <c r="U24" s="69">
        <f>702357+40000+80000</f>
        <v>822357</v>
      </c>
      <c r="V24" s="69">
        <v>784883.96</v>
      </c>
      <c r="W24" s="69"/>
      <c r="X24" s="69"/>
      <c r="Y24" s="69">
        <f>965000</f>
        <v>965000</v>
      </c>
      <c r="Z24" s="29"/>
      <c r="AA24" s="29"/>
      <c r="AB24" s="29">
        <f t="shared" si="2"/>
        <v>338907</v>
      </c>
      <c r="AC24" s="29"/>
      <c r="AD24" s="110">
        <v>338907</v>
      </c>
      <c r="AE24" s="29">
        <f t="shared" si="3"/>
        <v>3654209</v>
      </c>
      <c r="AF24" s="69">
        <v>3545041</v>
      </c>
      <c r="AG24" s="69"/>
      <c r="AH24" s="69">
        <f>111703-2535</f>
        <v>109168</v>
      </c>
      <c r="AI24" s="69"/>
      <c r="AJ24" s="69"/>
      <c r="AK24" s="69"/>
      <c r="AL24" s="69"/>
      <c r="AM24" s="29">
        <f t="shared" si="4"/>
        <v>537014.34000000008</v>
      </c>
      <c r="AN24" s="104">
        <f>734664-403749.66</f>
        <v>330914.34000000003</v>
      </c>
      <c r="AO24" s="29">
        <v>206100</v>
      </c>
      <c r="AP24" s="29">
        <f t="shared" si="5"/>
        <v>628822</v>
      </c>
      <c r="AQ24" s="69">
        <v>227318</v>
      </c>
      <c r="AR24" s="69">
        <v>282828</v>
      </c>
      <c r="AS24" s="69">
        <v>97956</v>
      </c>
      <c r="AT24" s="69">
        <v>20720</v>
      </c>
      <c r="AU24" s="69"/>
      <c r="AV24" s="69"/>
      <c r="AW24" s="69"/>
      <c r="AX24" s="69"/>
      <c r="AY24" s="69"/>
      <c r="AZ24" s="69"/>
      <c r="BA24" s="69"/>
      <c r="BB24" s="69"/>
      <c r="BC24" s="69"/>
      <c r="BD24" s="69"/>
      <c r="BE24" s="69"/>
      <c r="BF24" s="69"/>
      <c r="BG24" s="69">
        <f>680000+95000</f>
        <v>775000</v>
      </c>
      <c r="BH24" s="69"/>
      <c r="BI24" s="69"/>
      <c r="BJ24" s="69"/>
      <c r="BK24" s="69">
        <v>900000</v>
      </c>
      <c r="BL24" s="69">
        <v>1100000</v>
      </c>
      <c r="BM24" s="69"/>
      <c r="BN24" s="69"/>
      <c r="BO24" s="69"/>
      <c r="BP24" s="69"/>
      <c r="BQ24" s="69"/>
      <c r="BR24" s="69"/>
      <c r="BS24" s="29"/>
      <c r="BT24" s="29"/>
      <c r="BU24" s="29"/>
      <c r="BV24" s="29"/>
      <c r="BW24" s="29"/>
      <c r="BX24" s="29"/>
      <c r="BY24" s="29">
        <f t="shared" si="6"/>
        <v>133062034.25999999</v>
      </c>
      <c r="BZ24" s="29"/>
      <c r="CA24" s="29"/>
      <c r="CB24" s="29"/>
      <c r="CC24" s="69"/>
      <c r="CD24" s="69"/>
      <c r="CE24" s="69"/>
      <c r="CF24" s="69">
        <f>3000000-3000000</f>
        <v>0</v>
      </c>
      <c r="CG24" s="69"/>
      <c r="CH24" s="69"/>
      <c r="CI24" s="69"/>
      <c r="CJ24" s="69"/>
      <c r="CK24" s="69"/>
      <c r="CL24" s="69"/>
      <c r="CM24" s="69"/>
      <c r="CN24" s="69"/>
      <c r="CO24" s="69"/>
      <c r="CP24" s="69"/>
      <c r="CQ24" s="69"/>
      <c r="CR24" s="69"/>
      <c r="CS24" s="69">
        <f>30800</f>
        <v>30800</v>
      </c>
      <c r="CT24" s="29"/>
      <c r="CU24" s="29">
        <v>3000000</v>
      </c>
      <c r="CV24" s="29"/>
      <c r="CW24" s="29">
        <f t="shared" si="0"/>
        <v>3030800</v>
      </c>
      <c r="CX24" s="69"/>
    </row>
    <row r="25" spans="1:102" ht="55.5" customHeight="1" x14ac:dyDescent="0.8">
      <c r="A25" s="12" t="s">
        <v>24</v>
      </c>
      <c r="B25" s="13" t="s">
        <v>60</v>
      </c>
      <c r="C25" s="28"/>
      <c r="D25" s="28"/>
      <c r="E25" s="28"/>
      <c r="F25" s="99">
        <f>30066200-1514800-20600-3409400-187300</f>
        <v>24934100</v>
      </c>
      <c r="G25" s="99">
        <f>17138200+1663900-389772.4</f>
        <v>18412327.600000001</v>
      </c>
      <c r="H25" s="99">
        <f>239900+13600-18000-17300-4600-62.09+4300</f>
        <v>217837.91</v>
      </c>
      <c r="I25" s="91">
        <f>1953973-361009</f>
        <v>1592964</v>
      </c>
      <c r="J25" s="69">
        <f>306472</f>
        <v>306472</v>
      </c>
      <c r="K25" s="69"/>
      <c r="L25" s="69"/>
      <c r="M25" s="29">
        <f t="shared" si="1"/>
        <v>0</v>
      </c>
      <c r="N25" s="69"/>
      <c r="O25" s="69"/>
      <c r="P25" s="69"/>
      <c r="Q25" s="69"/>
      <c r="R25" s="69"/>
      <c r="S25" s="69">
        <f>536341-119050+44695+89390</f>
        <v>551376</v>
      </c>
      <c r="T25" s="69">
        <v>80877</v>
      </c>
      <c r="U25" s="69">
        <f>1040350+120000</f>
        <v>1160350</v>
      </c>
      <c r="V25" s="69"/>
      <c r="W25" s="69"/>
      <c r="X25" s="69"/>
      <c r="Y25" s="69"/>
      <c r="Z25" s="29"/>
      <c r="AA25" s="29"/>
      <c r="AB25" s="29">
        <f t="shared" si="2"/>
        <v>0</v>
      </c>
      <c r="AC25" s="29"/>
      <c r="AD25" s="29"/>
      <c r="AE25" s="29">
        <f t="shared" si="3"/>
        <v>223055</v>
      </c>
      <c r="AF25" s="69"/>
      <c r="AG25" s="69"/>
      <c r="AH25" s="69">
        <f>103110-2340</f>
        <v>100770</v>
      </c>
      <c r="AI25" s="69"/>
      <c r="AJ25" s="69">
        <f>122285</f>
        <v>122285</v>
      </c>
      <c r="AK25" s="69"/>
      <c r="AL25" s="69"/>
      <c r="AM25" s="29">
        <f t="shared" si="4"/>
        <v>272115.14</v>
      </c>
      <c r="AN25" s="104">
        <f>122444-56428.86</f>
        <v>66015.14</v>
      </c>
      <c r="AO25" s="29">
        <v>206100</v>
      </c>
      <c r="AP25" s="29">
        <f t="shared" si="5"/>
        <v>543957</v>
      </c>
      <c r="AQ25" s="69">
        <v>209832</v>
      </c>
      <c r="AR25" s="69">
        <v>242424</v>
      </c>
      <c r="AS25" s="69">
        <v>69969</v>
      </c>
      <c r="AT25" s="69">
        <v>21732</v>
      </c>
      <c r="AU25" s="69"/>
      <c r="AV25" s="69"/>
      <c r="AW25" s="69"/>
      <c r="AX25" s="69"/>
      <c r="AY25" s="69"/>
      <c r="AZ25" s="69"/>
      <c r="BA25" s="69"/>
      <c r="BB25" s="69"/>
      <c r="BC25" s="69"/>
      <c r="BD25" s="69"/>
      <c r="BE25" s="69"/>
      <c r="BF25" s="69"/>
      <c r="BG25" s="69">
        <f>550000+50000</f>
        <v>600000</v>
      </c>
      <c r="BH25" s="69"/>
      <c r="BI25" s="69"/>
      <c r="BJ25" s="69"/>
      <c r="BK25" s="69">
        <v>900000</v>
      </c>
      <c r="BL25" s="69">
        <v>1100000</v>
      </c>
      <c r="BM25" s="69"/>
      <c r="BN25" s="69"/>
      <c r="BO25" s="69"/>
      <c r="BP25" s="69"/>
      <c r="BQ25" s="69"/>
      <c r="BR25" s="69">
        <f>730000-730000</f>
        <v>0</v>
      </c>
      <c r="BS25" s="29"/>
      <c r="BT25" s="29"/>
      <c r="BU25" s="29"/>
      <c r="BV25" s="29"/>
      <c r="BW25" s="29"/>
      <c r="BX25" s="29"/>
      <c r="BY25" s="29">
        <f t="shared" si="6"/>
        <v>50895431.649999999</v>
      </c>
      <c r="BZ25" s="29"/>
      <c r="CA25" s="29"/>
      <c r="CB25" s="29"/>
      <c r="CC25" s="69"/>
      <c r="CD25" s="69"/>
      <c r="CE25" s="69"/>
      <c r="CF25" s="69"/>
      <c r="CG25" s="69"/>
      <c r="CH25" s="69">
        <v>28500</v>
      </c>
      <c r="CI25" s="69"/>
      <c r="CJ25" s="69"/>
      <c r="CK25" s="69"/>
      <c r="CL25" s="69"/>
      <c r="CM25" s="69"/>
      <c r="CN25" s="69"/>
      <c r="CO25" s="69"/>
      <c r="CP25" s="69"/>
      <c r="CQ25" s="69"/>
      <c r="CR25" s="69"/>
      <c r="CS25" s="69"/>
      <c r="CT25" s="29"/>
      <c r="CU25" s="93">
        <f>3000000</f>
        <v>3000000</v>
      </c>
      <c r="CV25" s="29"/>
      <c r="CW25" s="29">
        <f t="shared" si="0"/>
        <v>3028500</v>
      </c>
      <c r="CX25" s="69"/>
    </row>
    <row r="26" spans="1:102" ht="59.25" customHeight="1" x14ac:dyDescent="0.8">
      <c r="A26" s="12"/>
      <c r="B26" s="13" t="s">
        <v>50</v>
      </c>
      <c r="C26" s="28">
        <f t="shared" ref="C26:L26" si="7">C13+C14+C15+C16+C17+C18+C19+C20+C21+C22+C23+C24+C25</f>
        <v>0</v>
      </c>
      <c r="D26" s="28">
        <f t="shared" si="7"/>
        <v>0</v>
      </c>
      <c r="E26" s="28">
        <v>0</v>
      </c>
      <c r="F26" s="99">
        <f t="shared" si="7"/>
        <v>2502741500</v>
      </c>
      <c r="G26" s="99">
        <f t="shared" si="7"/>
        <v>3715733309.7400007</v>
      </c>
      <c r="H26" s="99">
        <f t="shared" si="7"/>
        <v>6940271.2200000007</v>
      </c>
      <c r="I26" s="92">
        <f t="shared" si="7"/>
        <v>48393114</v>
      </c>
      <c r="J26" s="28">
        <f t="shared" si="7"/>
        <v>59486467</v>
      </c>
      <c r="K26" s="28">
        <f t="shared" si="7"/>
        <v>730000</v>
      </c>
      <c r="L26" s="28">
        <f t="shared" si="7"/>
        <v>1114357</v>
      </c>
      <c r="M26" s="29">
        <f>N26+O26+P26+Q26+R26</f>
        <v>0</v>
      </c>
      <c r="N26" s="28">
        <f t="shared" ref="N26:AD26" si="8">N13+N14+N15+N16+N17+N18+N19+N20+N21+N22+N23+N24+N25</f>
        <v>0</v>
      </c>
      <c r="O26" s="28">
        <f t="shared" si="8"/>
        <v>0</v>
      </c>
      <c r="P26" s="28">
        <f t="shared" si="8"/>
        <v>0</v>
      </c>
      <c r="Q26" s="28">
        <f>Q13+Q14+Q15+Q16+Q17+Q18+Q19+Q20+Q21+Q22+Q23+Q24+Q25</f>
        <v>0</v>
      </c>
      <c r="R26" s="28">
        <f>R13+R14+R15+R16+R17+R18+R19+R20+R21+R22+R23+R24+R25</f>
        <v>0</v>
      </c>
      <c r="S26" s="28">
        <f t="shared" si="8"/>
        <v>66473524</v>
      </c>
      <c r="T26" s="28">
        <f t="shared" si="8"/>
        <v>7520097.3900000006</v>
      </c>
      <c r="U26" s="28">
        <f t="shared" si="8"/>
        <v>71378076</v>
      </c>
      <c r="V26" s="92">
        <f t="shared" si="8"/>
        <v>16697862.259999998</v>
      </c>
      <c r="W26" s="28">
        <f t="shared" si="8"/>
        <v>0</v>
      </c>
      <c r="X26" s="92">
        <f t="shared" si="8"/>
        <v>3580685.04</v>
      </c>
      <c r="Y26" s="28">
        <f t="shared" si="8"/>
        <v>14098675.449999999</v>
      </c>
      <c r="Z26" s="28"/>
      <c r="AA26" s="28">
        <f t="shared" si="8"/>
        <v>12883242.1</v>
      </c>
      <c r="AB26" s="28">
        <f t="shared" si="8"/>
        <v>14573017</v>
      </c>
      <c r="AC26" s="28">
        <f t="shared" si="8"/>
        <v>0</v>
      </c>
      <c r="AD26" s="28">
        <f t="shared" si="8"/>
        <v>14573017</v>
      </c>
      <c r="AE26" s="29">
        <f t="shared" si="3"/>
        <v>37531461</v>
      </c>
      <c r="AF26" s="28">
        <f t="shared" ref="AF26:AL26" si="9">AF13+AF14+AF15+AF16+AF17+AF18+AF19+AF20+AF21+AF22+AF23+AF24+AF25</f>
        <v>24180162</v>
      </c>
      <c r="AG26" s="28">
        <f t="shared" si="9"/>
        <v>0</v>
      </c>
      <c r="AH26" s="28">
        <f t="shared" si="9"/>
        <v>6520584</v>
      </c>
      <c r="AI26" s="28">
        <f t="shared" si="9"/>
        <v>1200000</v>
      </c>
      <c r="AJ26" s="28">
        <f t="shared" si="9"/>
        <v>4157715</v>
      </c>
      <c r="AK26" s="28">
        <f t="shared" si="9"/>
        <v>1473000</v>
      </c>
      <c r="AL26" s="28">
        <f t="shared" si="9"/>
        <v>0</v>
      </c>
      <c r="AM26" s="29">
        <f t="shared" si="4"/>
        <v>20172281.720000003</v>
      </c>
      <c r="AN26" s="30">
        <f>SUM(AN13:AN25)</f>
        <v>16874906.720000003</v>
      </c>
      <c r="AO26" s="30">
        <f>SUM(AO13:AO25)</f>
        <v>3297375</v>
      </c>
      <c r="AP26" s="29">
        <f t="shared" si="5"/>
        <v>43276153</v>
      </c>
      <c r="AQ26" s="28">
        <f>SUM(AQ13:AQ25)</f>
        <v>16032000</v>
      </c>
      <c r="AR26" s="28">
        <f>SUM(AR13:AR25)</f>
        <v>19902496</v>
      </c>
      <c r="AS26" s="28">
        <f>SUM(AS13:AS25)</f>
        <v>6283447</v>
      </c>
      <c r="AT26" s="28">
        <f>SUM(AT13:AT25)</f>
        <v>1058210</v>
      </c>
      <c r="AU26" s="28">
        <f>AU13+AU14+AU15+AU16+AU17+AU18+AU19+AU20+AU21+AU22+AU23+AU24+AU25</f>
        <v>0</v>
      </c>
      <c r="AV26" s="28">
        <f>AV13+AV14+AV15+AV16+AV17+AV18+AV19+AV20+AV21+AV22+AV23+AV24+AV25</f>
        <v>0</v>
      </c>
      <c r="AW26" s="28"/>
      <c r="AX26" s="28"/>
      <c r="AY26" s="28">
        <f>AY13+AY14+AY15+AY16+AY17+AY18+AY19+AY20+AY21+AY22+AY23+AY24+AY25</f>
        <v>0</v>
      </c>
      <c r="AZ26" s="28"/>
      <c r="BA26" s="28">
        <f>BA13+BA14+BA15+BA16+BA17+BA18+BA19+BA20+BA21+BA22+BA23+BA24+BA25</f>
        <v>0</v>
      </c>
      <c r="BB26" s="28">
        <f>BB13+BB14+BB15+BB16+BB17+BB18+BB19+BB20+BB21+BB22+BB23+BB24+BB25</f>
        <v>0</v>
      </c>
      <c r="BC26" s="28"/>
      <c r="BD26" s="28"/>
      <c r="BE26" s="28">
        <f>BE13+BE14+BE15+BE16+BE17+BE18+BE19+BE20+BE21+BE22+BE23+BE24+BE25</f>
        <v>0</v>
      </c>
      <c r="BF26" s="28">
        <f>BF13+BF14+BF15+BF16+BF17+BF18+BF19+BF20+BF21+BF22+BF23+BF24+BF25</f>
        <v>0</v>
      </c>
      <c r="BG26" s="28">
        <f>BG13+BG14+BG15+BG16+BG17+BG18+BG19+BG20+BG21+BG22+BG23+BG24+BG25</f>
        <v>45537000</v>
      </c>
      <c r="BH26" s="28">
        <f t="shared" ref="BH26:BW26" si="10">BH13+BH14+BH15+BH16+BH17+BH18+BH19+BH20+BH21+BH22+BH23+BH24+BH25</f>
        <v>789500</v>
      </c>
      <c r="BI26" s="28">
        <f t="shared" si="10"/>
        <v>1200000</v>
      </c>
      <c r="BJ26" s="28">
        <f t="shared" si="10"/>
        <v>5613430.5099999998</v>
      </c>
      <c r="BK26" s="28">
        <f t="shared" si="10"/>
        <v>9000000</v>
      </c>
      <c r="BL26" s="28">
        <f t="shared" si="10"/>
        <v>14293158.5</v>
      </c>
      <c r="BM26" s="28">
        <f t="shared" si="10"/>
        <v>104000</v>
      </c>
      <c r="BN26" s="28">
        <f t="shared" si="10"/>
        <v>101473000</v>
      </c>
      <c r="BO26" s="28">
        <f t="shared" si="10"/>
        <v>0</v>
      </c>
      <c r="BP26" s="28">
        <f t="shared" si="10"/>
        <v>0</v>
      </c>
      <c r="BQ26" s="28">
        <f t="shared" si="10"/>
        <v>0</v>
      </c>
      <c r="BR26" s="28">
        <f t="shared" si="10"/>
        <v>575000</v>
      </c>
      <c r="BS26" s="28">
        <f t="shared" si="10"/>
        <v>8180764.4900000002</v>
      </c>
      <c r="BT26" s="28">
        <f>BT13+BT14+BT15+BT16+BT17+BT18+BT19+BT20+BT21+BT22+BT23+BT24+BT25</f>
        <v>18500000</v>
      </c>
      <c r="BU26" s="28">
        <f t="shared" si="10"/>
        <v>6166820</v>
      </c>
      <c r="BV26" s="28">
        <f>BV13+BV14+BV15+BV16+BV17+BV18+BV19+BV20+BV21+BV22+BV23+BV24+BV25</f>
        <v>13514000</v>
      </c>
      <c r="BW26" s="28">
        <f t="shared" si="10"/>
        <v>0</v>
      </c>
      <c r="BX26" s="30"/>
      <c r="BY26" s="29">
        <f t="shared" si="6"/>
        <v>6868270767.420002</v>
      </c>
      <c r="BZ26" s="28">
        <f t="shared" ref="BZ26:CV26" si="11">BZ13+BZ14+BZ15+BZ16+BZ17+BZ18+BZ19+BZ20+BZ21+BZ22+BZ23+BZ24+BZ25</f>
        <v>0</v>
      </c>
      <c r="CA26" s="28">
        <f t="shared" si="11"/>
        <v>11000000</v>
      </c>
      <c r="CB26" s="28"/>
      <c r="CC26" s="28">
        <f t="shared" si="11"/>
        <v>0</v>
      </c>
      <c r="CD26" s="28">
        <f t="shared" si="11"/>
        <v>26100000</v>
      </c>
      <c r="CE26" s="28">
        <f t="shared" si="11"/>
        <v>0</v>
      </c>
      <c r="CF26" s="28">
        <f t="shared" si="11"/>
        <v>2500000</v>
      </c>
      <c r="CG26" s="28">
        <f t="shared" si="11"/>
        <v>73086</v>
      </c>
      <c r="CH26" s="28">
        <f t="shared" si="11"/>
        <v>466800</v>
      </c>
      <c r="CI26" s="28">
        <f t="shared" si="11"/>
        <v>2150000</v>
      </c>
      <c r="CJ26" s="28">
        <f t="shared" si="11"/>
        <v>150000</v>
      </c>
      <c r="CK26" s="28">
        <f t="shared" si="11"/>
        <v>4000000</v>
      </c>
      <c r="CL26" s="28">
        <f t="shared" si="11"/>
        <v>1000000</v>
      </c>
      <c r="CM26" s="28">
        <f t="shared" si="11"/>
        <v>0</v>
      </c>
      <c r="CN26" s="28">
        <f t="shared" si="11"/>
        <v>475961</v>
      </c>
      <c r="CO26" s="28">
        <f t="shared" si="11"/>
        <v>33000</v>
      </c>
      <c r="CP26" s="28">
        <f t="shared" si="11"/>
        <v>149970</v>
      </c>
      <c r="CQ26" s="28">
        <f t="shared" si="11"/>
        <v>100000</v>
      </c>
      <c r="CR26" s="28">
        <f t="shared" si="11"/>
        <v>1603764</v>
      </c>
      <c r="CS26" s="28">
        <f t="shared" si="11"/>
        <v>1129500</v>
      </c>
      <c r="CT26" s="28">
        <f t="shared" si="11"/>
        <v>14500000</v>
      </c>
      <c r="CU26" s="28">
        <f t="shared" si="11"/>
        <v>8000000</v>
      </c>
      <c r="CV26" s="28">
        <f t="shared" si="11"/>
        <v>0</v>
      </c>
      <c r="CW26" s="29">
        <f t="shared" si="0"/>
        <v>73432081</v>
      </c>
      <c r="CX26" s="28">
        <f>CX13+CX14+CX15+CX16+CX17+CX18+CX19+CX20+CX21+CX22+CX23+CX24+CX25</f>
        <v>0</v>
      </c>
    </row>
    <row r="27" spans="1:102" ht="63" customHeight="1" x14ac:dyDescent="0.8">
      <c r="A27" s="12" t="s">
        <v>25</v>
      </c>
      <c r="B27" s="13" t="s">
        <v>49</v>
      </c>
      <c r="C27" s="28"/>
      <c r="D27" s="28"/>
      <c r="E27" s="28"/>
      <c r="F27" s="99">
        <f>89909900-641900+1129200-11878000-956600</f>
        <v>77562600</v>
      </c>
      <c r="G27" s="99">
        <f>127467300-3137000-2363660.27</f>
        <v>121966639.73</v>
      </c>
      <c r="H27" s="99">
        <f>2326300+178300-56100-78100-48600-12356.73+89700</f>
        <v>2399143.27</v>
      </c>
      <c r="I27" s="91">
        <f>7901641-1404000-738572</f>
        <v>5759069</v>
      </c>
      <c r="J27" s="69"/>
      <c r="K27" s="69"/>
      <c r="L27" s="69"/>
      <c r="M27" s="29">
        <f t="shared" si="1"/>
        <v>0</v>
      </c>
      <c r="N27" s="69"/>
      <c r="O27" s="69"/>
      <c r="P27" s="69"/>
      <c r="Q27" s="69"/>
      <c r="R27" s="69"/>
      <c r="S27" s="69"/>
      <c r="T27" s="69"/>
      <c r="U27" s="69"/>
      <c r="V27" s="91">
        <f>528920.01+528921</f>
        <v>1057841.01</v>
      </c>
      <c r="W27" s="69"/>
      <c r="X27" s="69"/>
      <c r="Y27" s="69"/>
      <c r="Z27" s="29"/>
      <c r="AA27" s="29"/>
      <c r="AB27" s="29">
        <f t="shared" si="2"/>
        <v>0</v>
      </c>
      <c r="AC27" s="29"/>
      <c r="AD27" s="29"/>
      <c r="AE27" s="29">
        <f t="shared" si="3"/>
        <v>0</v>
      </c>
      <c r="AF27" s="69"/>
      <c r="AG27" s="69"/>
      <c r="AH27" s="69"/>
      <c r="AI27" s="69"/>
      <c r="AJ27" s="69"/>
      <c r="AK27" s="69"/>
      <c r="AL27" s="69"/>
      <c r="AM27" s="29">
        <f t="shared" si="4"/>
        <v>0</v>
      </c>
      <c r="AN27" s="29"/>
      <c r="AO27" s="29"/>
      <c r="AP27" s="29">
        <f t="shared" si="5"/>
        <v>0</v>
      </c>
      <c r="AQ27" s="69"/>
      <c r="AR27" s="69"/>
      <c r="AS27" s="69"/>
      <c r="AT27" s="69"/>
      <c r="AU27" s="69"/>
      <c r="AV27" s="69"/>
      <c r="AW27" s="69"/>
      <c r="AX27" s="69"/>
      <c r="AY27" s="69"/>
      <c r="AZ27" s="69"/>
      <c r="BA27" s="69"/>
      <c r="BB27" s="69"/>
      <c r="BC27" s="69"/>
      <c r="BD27" s="69"/>
      <c r="BE27" s="69"/>
      <c r="BF27" s="69">
        <f>300000+500000+350000</f>
        <v>1150000</v>
      </c>
      <c r="BG27" s="69">
        <f>300000-100000+100000</f>
        <v>300000</v>
      </c>
      <c r="BH27" s="69"/>
      <c r="BI27" s="69"/>
      <c r="BJ27" s="69"/>
      <c r="BK27" s="69"/>
      <c r="BL27" s="69"/>
      <c r="BM27" s="69"/>
      <c r="BN27" s="69"/>
      <c r="BO27" s="69"/>
      <c r="BP27" s="69">
        <v>91000</v>
      </c>
      <c r="BQ27" s="69"/>
      <c r="BR27" s="69"/>
      <c r="BS27" s="29"/>
      <c r="BT27" s="29"/>
      <c r="BU27" s="29"/>
      <c r="BV27" s="29"/>
      <c r="BW27" s="29"/>
      <c r="BX27" s="29"/>
      <c r="BY27" s="29">
        <f t="shared" si="6"/>
        <v>210286293.01000002</v>
      </c>
      <c r="BZ27" s="29"/>
      <c r="CA27" s="29"/>
      <c r="CB27" s="29"/>
      <c r="CC27" s="69"/>
      <c r="CD27" s="69"/>
      <c r="CE27" s="69"/>
      <c r="CF27" s="69"/>
      <c r="CG27" s="69"/>
      <c r="CH27" s="69"/>
      <c r="CI27" s="69"/>
      <c r="CJ27" s="69"/>
      <c r="CK27" s="69"/>
      <c r="CL27" s="69"/>
      <c r="CM27" s="69"/>
      <c r="CN27" s="69"/>
      <c r="CO27" s="69"/>
      <c r="CP27" s="69"/>
      <c r="CQ27" s="69"/>
      <c r="CR27" s="69"/>
      <c r="CS27" s="69"/>
      <c r="CT27" s="29"/>
      <c r="CU27" s="29"/>
      <c r="CV27" s="29"/>
      <c r="CW27" s="29">
        <f t="shared" si="0"/>
        <v>0</v>
      </c>
      <c r="CX27" s="69"/>
    </row>
    <row r="28" spans="1:102" ht="66.75" customHeight="1" x14ac:dyDescent="0.8">
      <c r="A28" s="12" t="s">
        <v>26</v>
      </c>
      <c r="B28" s="13" t="s">
        <v>61</v>
      </c>
      <c r="C28" s="28"/>
      <c r="D28" s="28"/>
      <c r="E28" s="28">
        <f>3470300+3544400</f>
        <v>7014700</v>
      </c>
      <c r="F28" s="99">
        <f>65711600+409300+1707300-9804900-480900</f>
        <v>57542400</v>
      </c>
      <c r="G28" s="99">
        <f>71209300-530900-1317750.99</f>
        <v>69360649.010000005</v>
      </c>
      <c r="H28" s="99">
        <f>2186600-148700-142300+251800+69500-40784.03+107900</f>
        <v>2284015.9700000002</v>
      </c>
      <c r="I28" s="95">
        <f>2654601-490457</f>
        <v>2164144</v>
      </c>
      <c r="J28" s="69">
        <f>94203</f>
        <v>94203</v>
      </c>
      <c r="K28" s="69"/>
      <c r="L28" s="69"/>
      <c r="M28" s="29">
        <f t="shared" si="1"/>
        <v>1400</v>
      </c>
      <c r="N28" s="69"/>
      <c r="O28" s="69"/>
      <c r="P28" s="69"/>
      <c r="Q28" s="69"/>
      <c r="R28" s="69">
        <f>1400</f>
        <v>1400</v>
      </c>
      <c r="S28" s="69"/>
      <c r="T28" s="69"/>
      <c r="U28" s="69">
        <f>832696+50000</f>
        <v>882696</v>
      </c>
      <c r="V28" s="69"/>
      <c r="W28" s="69"/>
      <c r="X28" s="69"/>
      <c r="Y28" s="69"/>
      <c r="Z28" s="29"/>
      <c r="AA28" s="29"/>
      <c r="AB28" s="29">
        <f t="shared" si="2"/>
        <v>564846</v>
      </c>
      <c r="AC28" s="29"/>
      <c r="AD28" s="110">
        <v>564846</v>
      </c>
      <c r="AE28" s="29">
        <f t="shared" si="3"/>
        <v>1445309</v>
      </c>
      <c r="AF28" s="69"/>
      <c r="AG28" s="69">
        <v>1339500</v>
      </c>
      <c r="AH28" s="69">
        <f>156384-50575</f>
        <v>105809</v>
      </c>
      <c r="AI28" s="69"/>
      <c r="AJ28" s="69"/>
      <c r="AK28" s="69"/>
      <c r="AL28" s="69"/>
      <c r="AM28" s="29">
        <f t="shared" si="4"/>
        <v>281088.24</v>
      </c>
      <c r="AN28" s="104">
        <f>275499-61222-139288.76</f>
        <v>74988.239999999991</v>
      </c>
      <c r="AO28" s="29">
        <v>206100</v>
      </c>
      <c r="AP28" s="29">
        <f t="shared" si="5"/>
        <v>485534</v>
      </c>
      <c r="AQ28" s="69">
        <v>202338</v>
      </c>
      <c r="AR28" s="69">
        <v>115884</v>
      </c>
      <c r="AS28" s="69">
        <v>143936</v>
      </c>
      <c r="AT28" s="69">
        <v>23376</v>
      </c>
      <c r="AU28" s="69"/>
      <c r="AV28" s="69"/>
      <c r="AW28" s="69"/>
      <c r="AX28" s="69"/>
      <c r="AY28" s="69"/>
      <c r="AZ28" s="69"/>
      <c r="BA28" s="69"/>
      <c r="BB28" s="69"/>
      <c r="BC28" s="69"/>
      <c r="BD28" s="69"/>
      <c r="BE28" s="69"/>
      <c r="BF28" s="69">
        <f>355000+100000</f>
        <v>455000</v>
      </c>
      <c r="BG28" s="69">
        <f>250000-10000+50000</f>
        <v>290000</v>
      </c>
      <c r="BH28" s="69"/>
      <c r="BI28" s="69"/>
      <c r="BJ28" s="69"/>
      <c r="BK28" s="69"/>
      <c r="BL28" s="69"/>
      <c r="BM28" s="69"/>
      <c r="BN28" s="69"/>
      <c r="BO28" s="69"/>
      <c r="BP28" s="69">
        <f>91000+14000+51000</f>
        <v>156000</v>
      </c>
      <c r="BQ28" s="69"/>
      <c r="BR28" s="69">
        <v>350000</v>
      </c>
      <c r="BS28" s="29"/>
      <c r="BT28" s="29"/>
      <c r="BU28" s="29"/>
      <c r="BV28" s="29"/>
      <c r="BW28" s="29"/>
      <c r="BX28" s="29"/>
      <c r="BY28" s="29">
        <f t="shared" si="6"/>
        <v>143371985.22000003</v>
      </c>
      <c r="BZ28" s="29"/>
      <c r="CA28" s="29"/>
      <c r="CB28" s="29"/>
      <c r="CC28" s="69"/>
      <c r="CD28" s="69"/>
      <c r="CE28" s="69"/>
      <c r="CF28" s="69"/>
      <c r="CG28" s="69"/>
      <c r="CH28" s="69">
        <v>11700</v>
      </c>
      <c r="CI28" s="69"/>
      <c r="CJ28" s="69"/>
      <c r="CK28" s="69"/>
      <c r="CL28" s="69"/>
      <c r="CM28" s="69"/>
      <c r="CN28" s="69"/>
      <c r="CO28" s="69"/>
      <c r="CP28" s="69"/>
      <c r="CQ28" s="69"/>
      <c r="CR28" s="69"/>
      <c r="CS28" s="69"/>
      <c r="CT28" s="29"/>
      <c r="CU28" s="29"/>
      <c r="CV28" s="29"/>
      <c r="CW28" s="29">
        <f t="shared" si="0"/>
        <v>11700</v>
      </c>
      <c r="CX28" s="69"/>
    </row>
    <row r="29" spans="1:102" ht="63" customHeight="1" x14ac:dyDescent="0.8">
      <c r="A29" s="12" t="s">
        <v>27</v>
      </c>
      <c r="B29" s="13" t="s">
        <v>62</v>
      </c>
      <c r="C29" s="28"/>
      <c r="D29" s="28"/>
      <c r="E29" s="28">
        <f>6020900+6149500</f>
        <v>12170400</v>
      </c>
      <c r="F29" s="99">
        <f>102926200-1285800+314000-12239300-720200</f>
        <v>88994900</v>
      </c>
      <c r="G29" s="99">
        <f>114194000+1178100-2221477.9</f>
        <v>113150622.09999999</v>
      </c>
      <c r="H29" s="99">
        <f>2743600+657400-82400-163300-36300-18471.44+98600</f>
        <v>3199128.56</v>
      </c>
      <c r="I29" s="95">
        <f>10482118-294000-1823796</f>
        <v>8364322</v>
      </c>
      <c r="J29" s="69">
        <f>380000+1625378</f>
        <v>2005378</v>
      </c>
      <c r="K29" s="69"/>
      <c r="L29" s="69"/>
      <c r="M29" s="29">
        <f t="shared" si="1"/>
        <v>0</v>
      </c>
      <c r="N29" s="69"/>
      <c r="O29" s="69"/>
      <c r="P29" s="69"/>
      <c r="Q29" s="69"/>
      <c r="R29" s="69"/>
      <c r="S29" s="69">
        <f>841892+232855+120594+183898</f>
        <v>1379239</v>
      </c>
      <c r="T29" s="69">
        <v>126953</v>
      </c>
      <c r="U29" s="69">
        <f>1173950-150000-150000+80000</f>
        <v>953950</v>
      </c>
      <c r="V29" s="69"/>
      <c r="W29" s="69"/>
      <c r="X29" s="69"/>
      <c r="Y29" s="69">
        <f>166250</f>
        <v>166250</v>
      </c>
      <c r="Z29" s="29">
        <f>500000</f>
        <v>500000</v>
      </c>
      <c r="AA29" s="29">
        <f>70187</f>
        <v>70187</v>
      </c>
      <c r="AB29" s="29">
        <f t="shared" si="2"/>
        <v>677815</v>
      </c>
      <c r="AC29" s="29"/>
      <c r="AD29" s="110">
        <v>677815</v>
      </c>
      <c r="AE29" s="29">
        <f t="shared" si="3"/>
        <v>5265469</v>
      </c>
      <c r="AF29" s="69">
        <v>3545041</v>
      </c>
      <c r="AG29" s="69">
        <v>1339500</v>
      </c>
      <c r="AH29" s="69">
        <f>324797-66154</f>
        <v>258643</v>
      </c>
      <c r="AI29" s="69"/>
      <c r="AJ29" s="69">
        <f>122285</f>
        <v>122285</v>
      </c>
      <c r="AK29" s="69"/>
      <c r="AL29" s="69"/>
      <c r="AM29" s="29">
        <f t="shared" si="4"/>
        <v>206100</v>
      </c>
      <c r="AN29" s="29"/>
      <c r="AO29" s="29">
        <v>206100</v>
      </c>
      <c r="AP29" s="29">
        <f t="shared" si="5"/>
        <v>1130205</v>
      </c>
      <c r="AQ29" s="69">
        <v>494604</v>
      </c>
      <c r="AR29" s="69">
        <v>389610</v>
      </c>
      <c r="AS29" s="69">
        <v>197911</v>
      </c>
      <c r="AT29" s="69">
        <v>48080</v>
      </c>
      <c r="AU29" s="69"/>
      <c r="AV29" s="69"/>
      <c r="AW29" s="69"/>
      <c r="AX29" s="69"/>
      <c r="AY29" s="69"/>
      <c r="AZ29" s="69"/>
      <c r="BA29" s="69"/>
      <c r="BB29" s="69"/>
      <c r="BC29" s="69"/>
      <c r="BD29" s="69"/>
      <c r="BE29" s="69"/>
      <c r="BF29" s="69"/>
      <c r="BG29" s="69">
        <f>630000-20000+50000</f>
        <v>660000</v>
      </c>
      <c r="BH29" s="69"/>
      <c r="BI29" s="69"/>
      <c r="BJ29" s="69"/>
      <c r="BK29" s="69"/>
      <c r="BL29" s="69"/>
      <c r="BM29" s="69"/>
      <c r="BN29" s="69"/>
      <c r="BO29" s="69"/>
      <c r="BP29" s="69">
        <f>91000+70000</f>
        <v>161000</v>
      </c>
      <c r="BQ29" s="69"/>
      <c r="BR29" s="69"/>
      <c r="BS29" s="29"/>
      <c r="BT29" s="29"/>
      <c r="BU29" s="29"/>
      <c r="BV29" s="29"/>
      <c r="BW29" s="29"/>
      <c r="BX29" s="29"/>
      <c r="BY29" s="29">
        <f t="shared" si="6"/>
        <v>239181918.66</v>
      </c>
      <c r="BZ29" s="29"/>
      <c r="CA29" s="29"/>
      <c r="CB29" s="29"/>
      <c r="CC29" s="69"/>
      <c r="CD29" s="69"/>
      <c r="CE29" s="69"/>
      <c r="CF29" s="69"/>
      <c r="CG29" s="69"/>
      <c r="CH29" s="69">
        <v>37000</v>
      </c>
      <c r="CI29" s="69"/>
      <c r="CJ29" s="69"/>
      <c r="CK29" s="69"/>
      <c r="CL29" s="69"/>
      <c r="CM29" s="69"/>
      <c r="CN29" s="69"/>
      <c r="CO29" s="69"/>
      <c r="CP29" s="69"/>
      <c r="CQ29" s="69"/>
      <c r="CR29" s="69"/>
      <c r="CS29" s="69"/>
      <c r="CT29" s="29"/>
      <c r="CU29" s="29"/>
      <c r="CV29" s="29"/>
      <c r="CW29" s="29">
        <f t="shared" si="0"/>
        <v>37000</v>
      </c>
      <c r="CX29" s="69"/>
    </row>
    <row r="30" spans="1:102" ht="63" customHeight="1" x14ac:dyDescent="0.8">
      <c r="A30" s="12" t="s">
        <v>28</v>
      </c>
      <c r="B30" s="13" t="s">
        <v>84</v>
      </c>
      <c r="C30" s="28"/>
      <c r="D30" s="28"/>
      <c r="E30" s="28">
        <f>4178300+275200</f>
        <v>4453500</v>
      </c>
      <c r="F30" s="99">
        <f>108024600-2081700-518700-12164000-804800</f>
        <v>92455400</v>
      </c>
      <c r="G30" s="99">
        <f>106698800-1584500-1965208.48</f>
        <v>103149091.52</v>
      </c>
      <c r="H30" s="99">
        <f>1623000-377800+294200+12500+36700-27442.08+83200</f>
        <v>1644357.92</v>
      </c>
      <c r="I30" s="95">
        <f>1724332-318581</f>
        <v>1405751</v>
      </c>
      <c r="J30" s="69">
        <f>2064976</f>
        <v>2064976</v>
      </c>
      <c r="K30" s="69"/>
      <c r="L30" s="69"/>
      <c r="M30" s="29">
        <f t="shared" si="1"/>
        <v>205100</v>
      </c>
      <c r="N30" s="69"/>
      <c r="O30" s="69">
        <v>203100</v>
      </c>
      <c r="P30" s="69">
        <v>2000</v>
      </c>
      <c r="Q30" s="69"/>
      <c r="R30" s="69"/>
      <c r="S30" s="69">
        <f>1413989+117832+235664</f>
        <v>1767485</v>
      </c>
      <c r="T30" s="69">
        <v>213221</v>
      </c>
      <c r="U30" s="69">
        <f>1591001-230000</f>
        <v>1361001</v>
      </c>
      <c r="V30" s="69">
        <v>1990457.93</v>
      </c>
      <c r="W30" s="69">
        <v>972121.86</v>
      </c>
      <c r="X30" s="69">
        <v>784883.96</v>
      </c>
      <c r="Y30" s="69"/>
      <c r="Z30" s="29"/>
      <c r="AA30" s="29"/>
      <c r="AB30" s="29">
        <f t="shared" si="2"/>
        <v>338907</v>
      </c>
      <c r="AC30" s="29"/>
      <c r="AD30" s="110">
        <v>338907</v>
      </c>
      <c r="AE30" s="29">
        <f t="shared" si="3"/>
        <v>305669</v>
      </c>
      <c r="AF30" s="69"/>
      <c r="AG30" s="69"/>
      <c r="AH30" s="69">
        <f>324797-19128</f>
        <v>305669</v>
      </c>
      <c r="AI30" s="69"/>
      <c r="AJ30" s="69"/>
      <c r="AK30" s="69"/>
      <c r="AL30" s="69"/>
      <c r="AM30" s="29">
        <f t="shared" si="4"/>
        <v>7365.8600000000006</v>
      </c>
      <c r="AN30" s="104">
        <f>61222-53856.14</f>
        <v>7365.8600000000006</v>
      </c>
      <c r="AO30" s="29"/>
      <c r="AP30" s="29">
        <f t="shared" si="5"/>
        <v>1464675</v>
      </c>
      <c r="AQ30" s="69">
        <v>584532</v>
      </c>
      <c r="AR30" s="69">
        <v>539460</v>
      </c>
      <c r="AS30" s="69">
        <v>305863</v>
      </c>
      <c r="AT30" s="69">
        <v>34820</v>
      </c>
      <c r="AU30" s="69"/>
      <c r="AV30" s="69"/>
      <c r="AW30" s="69"/>
      <c r="AX30" s="69"/>
      <c r="AY30" s="69"/>
      <c r="AZ30" s="69"/>
      <c r="BA30" s="69"/>
      <c r="BB30" s="69"/>
      <c r="BC30" s="69"/>
      <c r="BD30" s="69"/>
      <c r="BE30" s="69"/>
      <c r="BF30" s="69"/>
      <c r="BG30" s="69">
        <f>1520000+203000+10000</f>
        <v>1733000</v>
      </c>
      <c r="BH30" s="69"/>
      <c r="BI30" s="69"/>
      <c r="BJ30" s="69"/>
      <c r="BK30" s="69"/>
      <c r="BL30" s="69"/>
      <c r="BM30" s="69"/>
      <c r="BN30" s="69"/>
      <c r="BO30" s="69">
        <f>1000000-190000</f>
        <v>810000</v>
      </c>
      <c r="BP30" s="69">
        <v>91000</v>
      </c>
      <c r="BQ30" s="69"/>
      <c r="BR30" s="69">
        <v>200000</v>
      </c>
      <c r="BS30" s="29"/>
      <c r="BT30" s="29"/>
      <c r="BU30" s="29">
        <v>10000000</v>
      </c>
      <c r="BV30" s="29"/>
      <c r="BW30" s="29">
        <f>4000000-4000000</f>
        <v>0</v>
      </c>
      <c r="BX30" s="29"/>
      <c r="BY30" s="29">
        <f t="shared" si="6"/>
        <v>227417964.05000001</v>
      </c>
      <c r="BZ30" s="29"/>
      <c r="CA30" s="29"/>
      <c r="CB30" s="29"/>
      <c r="CC30" s="69"/>
      <c r="CD30" s="69"/>
      <c r="CE30" s="69"/>
      <c r="CF30" s="69">
        <f>2500000-2500000</f>
        <v>0</v>
      </c>
      <c r="CG30" s="69"/>
      <c r="CH30" s="69">
        <f>48700</f>
        <v>48700</v>
      </c>
      <c r="CI30" s="69"/>
      <c r="CJ30" s="69"/>
      <c r="CK30" s="69"/>
      <c r="CL30" s="69"/>
      <c r="CM30" s="69"/>
      <c r="CN30" s="69"/>
      <c r="CO30" s="69"/>
      <c r="CP30" s="69"/>
      <c r="CQ30" s="69"/>
      <c r="CR30" s="69"/>
      <c r="CS30" s="69"/>
      <c r="CT30" s="29"/>
      <c r="CU30" s="29"/>
      <c r="CV30" s="29"/>
      <c r="CW30" s="29">
        <f t="shared" si="0"/>
        <v>48700</v>
      </c>
      <c r="CX30" s="69"/>
    </row>
    <row r="31" spans="1:102" ht="59.25" customHeight="1" x14ac:dyDescent="0.8">
      <c r="A31" s="12" t="s">
        <v>29</v>
      </c>
      <c r="B31" s="13" t="s">
        <v>63</v>
      </c>
      <c r="C31" s="28"/>
      <c r="D31" s="28"/>
      <c r="E31" s="28">
        <v>7271800</v>
      </c>
      <c r="F31" s="99">
        <f>60813000-904400+1030600-7771600-650400</f>
        <v>52517200</v>
      </c>
      <c r="G31" s="99">
        <f>68617300+1120100-1331722.52</f>
        <v>68405677.480000004</v>
      </c>
      <c r="H31" s="99">
        <f>1959600-191100+345600+41300+38000-16045.88+116200</f>
        <v>2293554.12</v>
      </c>
      <c r="I31" s="95">
        <f>1663458-307334</f>
        <v>1356124</v>
      </c>
      <c r="J31" s="69">
        <f>67526</f>
        <v>67526</v>
      </c>
      <c r="K31" s="69"/>
      <c r="L31" s="69"/>
      <c r="M31" s="29">
        <f t="shared" si="1"/>
        <v>0</v>
      </c>
      <c r="N31" s="69"/>
      <c r="O31" s="69"/>
      <c r="P31" s="69"/>
      <c r="Q31" s="69"/>
      <c r="R31" s="69"/>
      <c r="S31" s="69">
        <f>718372-110000+59864+119728</f>
        <v>787964</v>
      </c>
      <c r="T31" s="69">
        <v>108326</v>
      </c>
      <c r="U31" s="69">
        <f>880041+100000</f>
        <v>980041</v>
      </c>
      <c r="V31" s="69">
        <f>637150.01</f>
        <v>637150.01</v>
      </c>
      <c r="W31" s="69"/>
      <c r="X31" s="69"/>
      <c r="Y31" s="69"/>
      <c r="Z31" s="29"/>
      <c r="AA31" s="29"/>
      <c r="AB31" s="29">
        <f t="shared" si="2"/>
        <v>0</v>
      </c>
      <c r="AC31" s="29"/>
      <c r="AD31" s="29"/>
      <c r="AE31" s="29">
        <f t="shared" si="3"/>
        <v>2984669</v>
      </c>
      <c r="AF31" s="69"/>
      <c r="AG31" s="69">
        <f>2679000</f>
        <v>2679000</v>
      </c>
      <c r="AH31" s="69">
        <f>312767-7098</f>
        <v>305669</v>
      </c>
      <c r="AI31" s="69"/>
      <c r="AJ31" s="69"/>
      <c r="AK31" s="69"/>
      <c r="AL31" s="69"/>
      <c r="AM31" s="29">
        <f t="shared" si="4"/>
        <v>206100</v>
      </c>
      <c r="AN31" s="29"/>
      <c r="AO31" s="29">
        <v>206100</v>
      </c>
      <c r="AP31" s="29">
        <f t="shared" si="5"/>
        <v>1387449</v>
      </c>
      <c r="AQ31" s="69">
        <v>584532</v>
      </c>
      <c r="AR31" s="69">
        <v>392607</v>
      </c>
      <c r="AS31" s="69">
        <v>359838</v>
      </c>
      <c r="AT31" s="69">
        <v>50472</v>
      </c>
      <c r="AU31" s="69"/>
      <c r="AV31" s="69"/>
      <c r="AW31" s="69"/>
      <c r="AX31" s="69"/>
      <c r="AY31" s="69"/>
      <c r="AZ31" s="69"/>
      <c r="BA31" s="69"/>
      <c r="BB31" s="69"/>
      <c r="BC31" s="69"/>
      <c r="BD31" s="69"/>
      <c r="BE31" s="69"/>
      <c r="BF31" s="69"/>
      <c r="BG31" s="69">
        <f>550000+500000+100000</f>
        <v>1150000</v>
      </c>
      <c r="BH31" s="70"/>
      <c r="BI31" s="70"/>
      <c r="BJ31" s="70"/>
      <c r="BK31" s="70"/>
      <c r="BL31" s="70"/>
      <c r="BM31" s="70"/>
      <c r="BN31" s="70"/>
      <c r="BO31" s="70"/>
      <c r="BP31" s="70">
        <f>91000+85000</f>
        <v>176000</v>
      </c>
      <c r="BQ31" s="70"/>
      <c r="BR31" s="70">
        <f>985000+1000000</f>
        <v>1985000</v>
      </c>
      <c r="BS31" s="39"/>
      <c r="BT31" s="39"/>
      <c r="BU31" s="39"/>
      <c r="BV31" s="39"/>
      <c r="BW31" s="39"/>
      <c r="BX31" s="39"/>
      <c r="BY31" s="29">
        <f t="shared" si="6"/>
        <v>142314580.61000001</v>
      </c>
      <c r="BZ31" s="29"/>
      <c r="CA31" s="29"/>
      <c r="CB31" s="29"/>
      <c r="CC31" s="70"/>
      <c r="CD31" s="70"/>
      <c r="CE31" s="70"/>
      <c r="CF31" s="70"/>
      <c r="CG31" s="70"/>
      <c r="CH31" s="70">
        <v>45200</v>
      </c>
      <c r="CI31" s="70"/>
      <c r="CJ31" s="70"/>
      <c r="CK31" s="70"/>
      <c r="CL31" s="70"/>
      <c r="CM31" s="70"/>
      <c r="CN31" s="70"/>
      <c r="CO31" s="70"/>
      <c r="CP31" s="70"/>
      <c r="CQ31" s="70"/>
      <c r="CR31" s="70"/>
      <c r="CS31" s="70"/>
      <c r="CT31" s="39"/>
      <c r="CU31" s="39"/>
      <c r="CV31" s="39"/>
      <c r="CW31" s="29">
        <f t="shared" si="0"/>
        <v>45200</v>
      </c>
      <c r="CX31" s="70"/>
    </row>
    <row r="32" spans="1:102" ht="63" customHeight="1" x14ac:dyDescent="0.8">
      <c r="A32" s="12" t="s">
        <v>30</v>
      </c>
      <c r="B32" s="13" t="s">
        <v>64</v>
      </c>
      <c r="C32" s="28"/>
      <c r="D32" s="28"/>
      <c r="E32" s="28">
        <f>3296900+3367300</f>
        <v>6664200</v>
      </c>
      <c r="F32" s="99">
        <f>65707900-2046400+114700-7418200-233900</f>
        <v>56124100</v>
      </c>
      <c r="G32" s="99">
        <f>87213000+2374100-1672183.02</f>
        <v>87914916.980000004</v>
      </c>
      <c r="H32" s="99">
        <f>1933700+516500-35100+8400-20100+25165.41+122600</f>
        <v>2551165.41</v>
      </c>
      <c r="I32" s="95">
        <f>3468939-640910</f>
        <v>2828029</v>
      </c>
      <c r="J32" s="69">
        <f>200000+1072938</f>
        <v>1272938</v>
      </c>
      <c r="K32" s="69">
        <f>749000+200000</f>
        <v>949000</v>
      </c>
      <c r="L32" s="69"/>
      <c r="M32" s="29">
        <f t="shared" si="1"/>
        <v>0</v>
      </c>
      <c r="N32" s="69"/>
      <c r="O32" s="69"/>
      <c r="P32" s="69"/>
      <c r="Q32" s="69"/>
      <c r="R32" s="69"/>
      <c r="S32" s="69">
        <f>676114+56343+112686</f>
        <v>845143</v>
      </c>
      <c r="T32" s="69">
        <v>101954</v>
      </c>
      <c r="U32" s="69">
        <f>678797-124041-200000-41168</f>
        <v>313588</v>
      </c>
      <c r="V32" s="91">
        <f>1461537.92+784884</f>
        <v>2246421.92</v>
      </c>
      <c r="W32" s="69"/>
      <c r="X32" s="69"/>
      <c r="Y32" s="69"/>
      <c r="Z32" s="29">
        <f>500000</f>
        <v>500000</v>
      </c>
      <c r="AA32" s="29"/>
      <c r="AB32" s="29">
        <f t="shared" si="2"/>
        <v>225938</v>
      </c>
      <c r="AC32" s="29"/>
      <c r="AD32" s="110">
        <v>225938</v>
      </c>
      <c r="AE32" s="29">
        <f t="shared" si="3"/>
        <v>176348</v>
      </c>
      <c r="AF32" s="69"/>
      <c r="AG32" s="69"/>
      <c r="AH32" s="69">
        <f>180443-4095</f>
        <v>176348</v>
      </c>
      <c r="AI32" s="69"/>
      <c r="AJ32" s="69"/>
      <c r="AK32" s="69"/>
      <c r="AL32" s="69"/>
      <c r="AM32" s="29">
        <f t="shared" si="4"/>
        <v>32322</v>
      </c>
      <c r="AN32" s="104">
        <f>61222-28900</f>
        <v>32322</v>
      </c>
      <c r="AO32" s="29"/>
      <c r="AP32" s="29">
        <f t="shared" si="5"/>
        <v>852538</v>
      </c>
      <c r="AQ32" s="69">
        <v>337230</v>
      </c>
      <c r="AR32" s="69">
        <v>202797</v>
      </c>
      <c r="AS32" s="69">
        <v>287871</v>
      </c>
      <c r="AT32" s="69">
        <v>24640</v>
      </c>
      <c r="AU32" s="69"/>
      <c r="AV32" s="69"/>
      <c r="AW32" s="69"/>
      <c r="AX32" s="69"/>
      <c r="AY32" s="69"/>
      <c r="AZ32" s="69"/>
      <c r="BA32" s="69"/>
      <c r="BB32" s="69"/>
      <c r="BC32" s="69"/>
      <c r="BD32" s="69"/>
      <c r="BE32" s="69"/>
      <c r="BF32" s="69">
        <f>400000+400000</f>
        <v>800000</v>
      </c>
      <c r="BG32" s="70">
        <f>270000+50000</f>
        <v>320000</v>
      </c>
      <c r="BH32" s="70"/>
      <c r="BI32" s="70"/>
      <c r="BJ32" s="70"/>
      <c r="BK32" s="70"/>
      <c r="BL32" s="70"/>
      <c r="BM32" s="70"/>
      <c r="BN32" s="70"/>
      <c r="BO32" s="70"/>
      <c r="BP32" s="70">
        <v>91000</v>
      </c>
      <c r="BQ32" s="70"/>
      <c r="BR32" s="70"/>
      <c r="BS32" s="39"/>
      <c r="BT32" s="39"/>
      <c r="BU32" s="39"/>
      <c r="BV32" s="39"/>
      <c r="BW32" s="39"/>
      <c r="BX32" s="39"/>
      <c r="BY32" s="29">
        <f t="shared" si="6"/>
        <v>164809602.31</v>
      </c>
      <c r="BZ32" s="29"/>
      <c r="CA32" s="29"/>
      <c r="CB32" s="29"/>
      <c r="CC32" s="70"/>
      <c r="CD32" s="70"/>
      <c r="CE32" s="70"/>
      <c r="CF32" s="70"/>
      <c r="CG32" s="70"/>
      <c r="CH32" s="70">
        <v>15362</v>
      </c>
      <c r="CI32" s="70"/>
      <c r="CJ32" s="70"/>
      <c r="CK32" s="70"/>
      <c r="CL32" s="70"/>
      <c r="CM32" s="70"/>
      <c r="CN32" s="70"/>
      <c r="CO32" s="70"/>
      <c r="CP32" s="70"/>
      <c r="CQ32" s="70"/>
      <c r="CR32" s="70"/>
      <c r="CS32" s="70"/>
      <c r="CT32" s="39"/>
      <c r="CU32" s="39"/>
      <c r="CV32" s="39"/>
      <c r="CW32" s="29">
        <f t="shared" si="0"/>
        <v>15362</v>
      </c>
      <c r="CX32" s="70"/>
    </row>
    <row r="33" spans="1:102" ht="66.75" customHeight="1" x14ac:dyDescent="0.8">
      <c r="A33" s="12" t="s">
        <v>31</v>
      </c>
      <c r="B33" s="13" t="s">
        <v>65</v>
      </c>
      <c r="C33" s="28"/>
      <c r="D33" s="28"/>
      <c r="E33" s="28">
        <f>4848600+4952000</f>
        <v>9800600</v>
      </c>
      <c r="F33" s="99">
        <f>57699700+1363700+37900-7150200-384600</f>
        <v>51566500</v>
      </c>
      <c r="G33" s="99">
        <f>75819900+317700-1423799.13</f>
        <v>74713800.870000005</v>
      </c>
      <c r="H33" s="99">
        <f>1032900+128400-47600+49600+49300-1277.27+85400</f>
        <v>1296722.73</v>
      </c>
      <c r="I33" s="95">
        <f>2141617-395680</f>
        <v>1745937</v>
      </c>
      <c r="J33" s="69">
        <f>22926</f>
        <v>22926</v>
      </c>
      <c r="K33" s="69"/>
      <c r="L33" s="69"/>
      <c r="M33" s="29">
        <f t="shared" si="1"/>
        <v>207300</v>
      </c>
      <c r="N33" s="69"/>
      <c r="O33" s="69">
        <v>205700</v>
      </c>
      <c r="P33" s="69">
        <v>1600</v>
      </c>
      <c r="Q33" s="69"/>
      <c r="R33" s="69"/>
      <c r="S33" s="69">
        <f>728123+60677+121354</f>
        <v>910154</v>
      </c>
      <c r="T33" s="69">
        <v>109797</v>
      </c>
      <c r="U33" s="69">
        <f>613009+100000</f>
        <v>713009</v>
      </c>
      <c r="V33" s="69"/>
      <c r="W33" s="69"/>
      <c r="X33" s="69"/>
      <c r="Y33" s="69"/>
      <c r="Z33" s="29"/>
      <c r="AA33" s="29"/>
      <c r="AB33" s="29">
        <f t="shared" si="2"/>
        <v>0</v>
      </c>
      <c r="AC33" s="29"/>
      <c r="AD33" s="29"/>
      <c r="AE33" s="29">
        <f t="shared" si="3"/>
        <v>5201967</v>
      </c>
      <c r="AF33" s="69">
        <v>3545041</v>
      </c>
      <c r="AG33" s="69">
        <f>1339500</f>
        <v>1339500</v>
      </c>
      <c r="AH33" s="69">
        <f>324797-7371</f>
        <v>317426</v>
      </c>
      <c r="AI33" s="69"/>
      <c r="AJ33" s="69"/>
      <c r="AK33" s="69"/>
      <c r="AL33" s="69"/>
      <c r="AM33" s="29">
        <f t="shared" si="4"/>
        <v>206100</v>
      </c>
      <c r="AN33" s="29"/>
      <c r="AO33" s="29">
        <v>206100</v>
      </c>
      <c r="AP33" s="29">
        <f t="shared" si="5"/>
        <v>1471050</v>
      </c>
      <c r="AQ33" s="69">
        <v>607014</v>
      </c>
      <c r="AR33" s="69">
        <v>365634</v>
      </c>
      <c r="AS33" s="69">
        <v>449798</v>
      </c>
      <c r="AT33" s="69">
        <v>48604</v>
      </c>
      <c r="AU33" s="69"/>
      <c r="AV33" s="69"/>
      <c r="AW33" s="69"/>
      <c r="AX33" s="69"/>
      <c r="AY33" s="69"/>
      <c r="AZ33" s="69"/>
      <c r="BA33" s="69"/>
      <c r="BB33" s="69"/>
      <c r="BC33" s="69"/>
      <c r="BD33" s="69"/>
      <c r="BE33" s="69"/>
      <c r="BF33" s="69"/>
      <c r="BG33" s="70">
        <f>535000+55000</f>
        <v>590000</v>
      </c>
      <c r="BH33" s="70"/>
      <c r="BI33" s="70"/>
      <c r="BJ33" s="70">
        <f>1000000+207183</f>
        <v>1207183</v>
      </c>
      <c r="BK33" s="70"/>
      <c r="BL33" s="70"/>
      <c r="BM33" s="70"/>
      <c r="BN33" s="70"/>
      <c r="BO33" s="70"/>
      <c r="BP33" s="70">
        <f>91000+75000</f>
        <v>166000</v>
      </c>
      <c r="BQ33" s="70"/>
      <c r="BR33" s="70">
        <v>1965000</v>
      </c>
      <c r="BS33" s="39"/>
      <c r="BT33" s="39"/>
      <c r="BU33" s="39"/>
      <c r="BV33" s="39"/>
      <c r="BW33" s="39"/>
      <c r="BX33" s="39"/>
      <c r="BY33" s="29">
        <f t="shared" si="6"/>
        <v>151894046.59999999</v>
      </c>
      <c r="BZ33" s="29"/>
      <c r="CA33" s="29"/>
      <c r="CB33" s="29">
        <f>65000+82200</f>
        <v>147200</v>
      </c>
      <c r="CC33" s="70"/>
      <c r="CD33" s="70">
        <f>3450000+1000000-1000000</f>
        <v>3450000</v>
      </c>
      <c r="CE33" s="70"/>
      <c r="CF33" s="70">
        <f>300000+400000+1000000-1000000</f>
        <v>700000</v>
      </c>
      <c r="CG33" s="70"/>
      <c r="CH33" s="70">
        <v>33600</v>
      </c>
      <c r="CI33" s="70"/>
      <c r="CJ33" s="70"/>
      <c r="CK33" s="70"/>
      <c r="CL33" s="70"/>
      <c r="CM33" s="70"/>
      <c r="CN33" s="70"/>
      <c r="CO33" s="70"/>
      <c r="CP33" s="70"/>
      <c r="CQ33" s="70"/>
      <c r="CR33" s="70"/>
      <c r="CS33" s="70"/>
      <c r="CT33" s="39"/>
      <c r="CU33" s="39"/>
      <c r="CV33" s="39"/>
      <c r="CW33" s="29">
        <f t="shared" si="0"/>
        <v>4330800</v>
      </c>
      <c r="CX33" s="70"/>
    </row>
    <row r="34" spans="1:102" ht="63" customHeight="1" x14ac:dyDescent="0.8">
      <c r="A34" s="12" t="s">
        <v>32</v>
      </c>
      <c r="B34" s="13" t="s">
        <v>66</v>
      </c>
      <c r="C34" s="28"/>
      <c r="D34" s="28"/>
      <c r="E34" s="28">
        <v>2997900</v>
      </c>
      <c r="F34" s="99">
        <f>40696500-2332200+725000-5330000-299100</f>
        <v>33460200</v>
      </c>
      <c r="G34" s="99">
        <f>41295000+5264400-901646.03</f>
        <v>45657753.969999999</v>
      </c>
      <c r="H34" s="99">
        <f>4827800-384600-15900-259700-108800+5724.02+139200</f>
        <v>4203724.0199999996</v>
      </c>
      <c r="I34" s="95">
        <f>712489+144000-173637</f>
        <v>682852</v>
      </c>
      <c r="J34" s="69"/>
      <c r="K34" s="69"/>
      <c r="L34" s="69"/>
      <c r="M34" s="29">
        <f t="shared" si="1"/>
        <v>0</v>
      </c>
      <c r="N34" s="69"/>
      <c r="O34" s="69"/>
      <c r="P34" s="69"/>
      <c r="Q34" s="69"/>
      <c r="R34" s="69"/>
      <c r="S34" s="69"/>
      <c r="T34" s="69"/>
      <c r="U34" s="69">
        <f>412384-378061</f>
        <v>34323</v>
      </c>
      <c r="V34" s="91">
        <f>528921</f>
        <v>528921</v>
      </c>
      <c r="W34" s="69">
        <v>1501042.13</v>
      </c>
      <c r="X34" s="69"/>
      <c r="Y34" s="69"/>
      <c r="Z34" s="29"/>
      <c r="AA34" s="29"/>
      <c r="AB34" s="29">
        <f t="shared" si="2"/>
        <v>0</v>
      </c>
      <c r="AC34" s="29"/>
      <c r="AD34" s="29"/>
      <c r="AE34" s="29">
        <f t="shared" si="3"/>
        <v>23513</v>
      </c>
      <c r="AF34" s="69"/>
      <c r="AG34" s="69"/>
      <c r="AH34" s="69">
        <f>156384-132871</f>
        <v>23513</v>
      </c>
      <c r="AI34" s="69"/>
      <c r="AJ34" s="69"/>
      <c r="AK34" s="69"/>
      <c r="AL34" s="69"/>
      <c r="AM34" s="29">
        <f t="shared" si="4"/>
        <v>0</v>
      </c>
      <c r="AN34" s="29">
        <f>122444-122444</f>
        <v>0</v>
      </c>
      <c r="AO34" s="29"/>
      <c r="AP34" s="29">
        <f t="shared" si="5"/>
        <v>211067</v>
      </c>
      <c r="AQ34" s="69">
        <v>44964</v>
      </c>
      <c r="AR34" s="69">
        <v>48951</v>
      </c>
      <c r="AS34" s="69">
        <v>107952</v>
      </c>
      <c r="AT34" s="69">
        <v>9200</v>
      </c>
      <c r="AU34" s="69"/>
      <c r="AV34" s="69"/>
      <c r="AW34" s="69"/>
      <c r="AX34" s="69"/>
      <c r="AY34" s="69"/>
      <c r="AZ34" s="69"/>
      <c r="BA34" s="69"/>
      <c r="BB34" s="69"/>
      <c r="BC34" s="69"/>
      <c r="BD34" s="69"/>
      <c r="BE34" s="69"/>
      <c r="BF34" s="69"/>
      <c r="BG34" s="70">
        <f>300000+50000</f>
        <v>350000</v>
      </c>
      <c r="BH34" s="70"/>
      <c r="BI34" s="70"/>
      <c r="BJ34" s="70"/>
      <c r="BK34" s="70"/>
      <c r="BL34" s="70"/>
      <c r="BM34" s="70"/>
      <c r="BN34" s="70"/>
      <c r="BO34" s="70"/>
      <c r="BP34" s="70">
        <f>91000+2000+58000</f>
        <v>151000</v>
      </c>
      <c r="BQ34" s="70"/>
      <c r="BR34" s="70"/>
      <c r="BS34" s="39"/>
      <c r="BT34" s="39"/>
      <c r="BU34" s="39"/>
      <c r="BV34" s="39"/>
      <c r="BW34" s="39"/>
      <c r="BX34" s="39"/>
      <c r="BY34" s="29">
        <f t="shared" si="6"/>
        <v>89802296.11999999</v>
      </c>
      <c r="BZ34" s="29"/>
      <c r="CA34" s="29"/>
      <c r="CB34" s="29"/>
      <c r="CC34" s="70"/>
      <c r="CD34" s="70"/>
      <c r="CE34" s="70"/>
      <c r="CF34" s="70"/>
      <c r="CG34" s="70"/>
      <c r="CH34" s="70">
        <v>3300</v>
      </c>
      <c r="CI34" s="70"/>
      <c r="CJ34" s="70"/>
      <c r="CK34" s="70"/>
      <c r="CL34" s="70"/>
      <c r="CM34" s="70"/>
      <c r="CN34" s="70"/>
      <c r="CO34" s="70"/>
      <c r="CP34" s="70"/>
      <c r="CQ34" s="70"/>
      <c r="CR34" s="70"/>
      <c r="CS34" s="70"/>
      <c r="CT34" s="39"/>
      <c r="CU34" s="39"/>
      <c r="CV34" s="39"/>
      <c r="CW34" s="29">
        <f t="shared" si="0"/>
        <v>3300</v>
      </c>
      <c r="CX34" s="70"/>
    </row>
    <row r="35" spans="1:102" ht="63" customHeight="1" x14ac:dyDescent="0.8">
      <c r="A35" s="12" t="s">
        <v>33</v>
      </c>
      <c r="B35" s="13" t="s">
        <v>67</v>
      </c>
      <c r="C35" s="28"/>
      <c r="D35" s="28"/>
      <c r="E35" s="28">
        <f>3920800+3103500</f>
        <v>7024300</v>
      </c>
      <c r="F35" s="99">
        <f>61755700-600200+364600-7420800-267600</f>
        <v>53831700</v>
      </c>
      <c r="G35" s="99">
        <f>88089100+3320200-1716340.32</f>
        <v>89692959.680000007</v>
      </c>
      <c r="H35" s="99">
        <f>795200+295600-113600-9400-19100-1176.76+28000</f>
        <v>975523.24</v>
      </c>
      <c r="I35" s="95">
        <f>2112776-193252</f>
        <v>1919524</v>
      </c>
      <c r="J35" s="69">
        <f>1253948</f>
        <v>1253948</v>
      </c>
      <c r="K35" s="69"/>
      <c r="L35" s="69"/>
      <c r="M35" s="29">
        <f t="shared" si="1"/>
        <v>0</v>
      </c>
      <c r="N35" s="69"/>
      <c r="O35" s="69"/>
      <c r="P35" s="69"/>
      <c r="Q35" s="69"/>
      <c r="R35" s="69"/>
      <c r="S35" s="69">
        <f>679365+56614+113228</f>
        <v>849207</v>
      </c>
      <c r="T35" s="69">
        <v>102444</v>
      </c>
      <c r="U35" s="69">
        <f>918164+100000+60000</f>
        <v>1078164</v>
      </c>
      <c r="V35" s="69"/>
      <c r="W35" s="69"/>
      <c r="X35" s="69"/>
      <c r="Y35" s="69"/>
      <c r="Z35" s="29">
        <f>2000000</f>
        <v>2000000</v>
      </c>
      <c r="AA35" s="29"/>
      <c r="AB35" s="29">
        <f t="shared" si="2"/>
        <v>225938</v>
      </c>
      <c r="AC35" s="29"/>
      <c r="AD35" s="110">
        <v>225938</v>
      </c>
      <c r="AE35" s="29">
        <f t="shared" si="3"/>
        <v>152835</v>
      </c>
      <c r="AF35" s="69"/>
      <c r="AG35" s="69"/>
      <c r="AH35" s="69">
        <f>300738-147903</f>
        <v>152835</v>
      </c>
      <c r="AI35" s="69"/>
      <c r="AJ35" s="69"/>
      <c r="AK35" s="69"/>
      <c r="AL35" s="69"/>
      <c r="AM35" s="29">
        <f>AN35+AO35</f>
        <v>222900.59</v>
      </c>
      <c r="AN35" s="104">
        <f>765275-612220-136254.41</f>
        <v>16800.589999999997</v>
      </c>
      <c r="AO35" s="29">
        <v>206100</v>
      </c>
      <c r="AP35" s="29">
        <f t="shared" si="5"/>
        <v>655635</v>
      </c>
      <c r="AQ35" s="69">
        <v>292266</v>
      </c>
      <c r="AR35" s="69">
        <v>182817</v>
      </c>
      <c r="AS35" s="69">
        <v>161928</v>
      </c>
      <c r="AT35" s="69">
        <v>18624</v>
      </c>
      <c r="AU35" s="69"/>
      <c r="AV35" s="69"/>
      <c r="AW35" s="69"/>
      <c r="AX35" s="69"/>
      <c r="AY35" s="69"/>
      <c r="AZ35" s="69"/>
      <c r="BA35" s="69"/>
      <c r="BB35" s="69"/>
      <c r="BC35" s="69"/>
      <c r="BD35" s="69"/>
      <c r="BE35" s="69"/>
      <c r="BF35" s="69"/>
      <c r="BG35" s="70">
        <f>620000+15000</f>
        <v>635000</v>
      </c>
      <c r="BH35" s="70"/>
      <c r="BI35" s="70"/>
      <c r="BJ35" s="70"/>
      <c r="BK35" s="70"/>
      <c r="BL35" s="70"/>
      <c r="BM35" s="70">
        <v>13000</v>
      </c>
      <c r="BN35" s="70"/>
      <c r="BO35" s="70"/>
      <c r="BP35" s="70">
        <f>91000+58000</f>
        <v>149000</v>
      </c>
      <c r="BQ35" s="70"/>
      <c r="BR35" s="70"/>
      <c r="BS35" s="39"/>
      <c r="BT35" s="39">
        <f>8600000</f>
        <v>8600000</v>
      </c>
      <c r="BU35" s="39"/>
      <c r="BV35" s="39"/>
      <c r="BW35" s="39"/>
      <c r="BX35" s="39"/>
      <c r="BY35" s="29">
        <f t="shared" si="6"/>
        <v>169382078.51000002</v>
      </c>
      <c r="BZ35" s="29"/>
      <c r="CA35" s="29"/>
      <c r="CB35" s="29"/>
      <c r="CC35" s="70"/>
      <c r="CD35" s="70"/>
      <c r="CE35" s="70"/>
      <c r="CF35" s="70"/>
      <c r="CG35" s="70"/>
      <c r="CH35" s="70">
        <f>16300</f>
        <v>16300</v>
      </c>
      <c r="CI35" s="70"/>
      <c r="CJ35" s="70"/>
      <c r="CK35" s="70"/>
      <c r="CL35" s="70"/>
      <c r="CM35" s="70"/>
      <c r="CN35" s="70"/>
      <c r="CO35" s="70"/>
      <c r="CP35" s="70"/>
      <c r="CQ35" s="70"/>
      <c r="CR35" s="70"/>
      <c r="CS35" s="70"/>
      <c r="CT35" s="39"/>
      <c r="CU35" s="39"/>
      <c r="CV35" s="39"/>
      <c r="CW35" s="29">
        <f t="shared" si="0"/>
        <v>16300</v>
      </c>
      <c r="CX35" s="70"/>
    </row>
    <row r="36" spans="1:102" ht="63" customHeight="1" x14ac:dyDescent="0.8">
      <c r="A36" s="12" t="s">
        <v>34</v>
      </c>
      <c r="B36" s="13" t="s">
        <v>68</v>
      </c>
      <c r="C36" s="28"/>
      <c r="D36" s="28"/>
      <c r="E36" s="28">
        <v>11567000</v>
      </c>
      <c r="F36" s="99">
        <f>95690900-808200-583500-13078700-810600</f>
        <v>80409900</v>
      </c>
      <c r="G36" s="99">
        <f>120467500+13842500-2420276.4</f>
        <v>131889723.59999999</v>
      </c>
      <c r="H36" s="99">
        <f>1450100+59700-45700-52200-5500-3230.98+69600</f>
        <v>1472769.02</v>
      </c>
      <c r="I36" s="95">
        <f>2866821-461949</f>
        <v>2404872</v>
      </c>
      <c r="J36" s="69">
        <f>127133</f>
        <v>127133</v>
      </c>
      <c r="K36" s="69"/>
      <c r="L36" s="69"/>
      <c r="M36" s="29">
        <f t="shared" si="1"/>
        <v>1265800</v>
      </c>
      <c r="N36" s="69">
        <f>64600</f>
        <v>64600</v>
      </c>
      <c r="O36" s="69">
        <f>980200+215300</f>
        <v>1195500</v>
      </c>
      <c r="P36" s="69">
        <f>3300+2400</f>
        <v>5700</v>
      </c>
      <c r="Q36" s="69"/>
      <c r="R36" s="69"/>
      <c r="S36" s="69">
        <f>838642+69887+139774</f>
        <v>1048303</v>
      </c>
      <c r="T36" s="69">
        <v>126462</v>
      </c>
      <c r="U36" s="69">
        <f>1866748+360000</f>
        <v>2226748</v>
      </c>
      <c r="V36" s="69"/>
      <c r="W36" s="69"/>
      <c r="X36" s="69"/>
      <c r="Y36" s="69">
        <v>170000</v>
      </c>
      <c r="Z36" s="29"/>
      <c r="AA36" s="29">
        <f>398930.69</f>
        <v>398930.69</v>
      </c>
      <c r="AB36" s="29">
        <f t="shared" si="2"/>
        <v>564846</v>
      </c>
      <c r="AC36" s="29"/>
      <c r="AD36" s="110">
        <v>564846</v>
      </c>
      <c r="AE36" s="29">
        <f t="shared" si="3"/>
        <v>6764940</v>
      </c>
      <c r="AF36" s="69">
        <v>3545041</v>
      </c>
      <c r="AG36" s="69">
        <f>2679100</f>
        <v>2679100</v>
      </c>
      <c r="AH36" s="69">
        <f>553357-12558</f>
        <v>540799</v>
      </c>
      <c r="AI36" s="69"/>
      <c r="AJ36" s="69"/>
      <c r="AK36" s="69"/>
      <c r="AL36" s="69"/>
      <c r="AM36" s="29">
        <f t="shared" si="4"/>
        <v>278544</v>
      </c>
      <c r="AN36" s="104">
        <f>122444-50000</f>
        <v>72444</v>
      </c>
      <c r="AO36" s="29">
        <v>206100</v>
      </c>
      <c r="AP36" s="29">
        <f t="shared" si="5"/>
        <v>2633932</v>
      </c>
      <c r="AQ36" s="69">
        <v>1034172</v>
      </c>
      <c r="AR36" s="69">
        <v>806193</v>
      </c>
      <c r="AS36" s="69">
        <v>719707</v>
      </c>
      <c r="AT36" s="69">
        <v>73860</v>
      </c>
      <c r="AU36" s="69"/>
      <c r="AV36" s="69"/>
      <c r="AW36" s="69"/>
      <c r="AX36" s="69"/>
      <c r="AY36" s="69"/>
      <c r="AZ36" s="69"/>
      <c r="BA36" s="69"/>
      <c r="BB36" s="69"/>
      <c r="BC36" s="69"/>
      <c r="BD36" s="69"/>
      <c r="BE36" s="69"/>
      <c r="BF36" s="69"/>
      <c r="BG36" s="70">
        <f>1903000+155000</f>
        <v>2058000</v>
      </c>
      <c r="BH36" s="70">
        <f>27500</f>
        <v>27500</v>
      </c>
      <c r="BI36" s="70"/>
      <c r="BJ36" s="70"/>
      <c r="BK36" s="70"/>
      <c r="BL36" s="70"/>
      <c r="BM36" s="70">
        <v>13000</v>
      </c>
      <c r="BN36" s="70"/>
      <c r="BO36" s="70"/>
      <c r="BP36" s="70">
        <f>91000+2000</f>
        <v>93000</v>
      </c>
      <c r="BQ36" s="70"/>
      <c r="BR36" s="70"/>
      <c r="BS36" s="39"/>
      <c r="BT36" s="39"/>
      <c r="BU36" s="39">
        <f>1066820-1066820</f>
        <v>0</v>
      </c>
      <c r="BV36" s="39"/>
      <c r="BW36" s="39"/>
      <c r="BX36" s="39"/>
      <c r="BY36" s="29">
        <f t="shared" si="6"/>
        <v>245541403.31</v>
      </c>
      <c r="BZ36" s="29"/>
      <c r="CA36" s="29"/>
      <c r="CB36" s="29"/>
      <c r="CC36" s="70"/>
      <c r="CD36" s="70">
        <v>104000</v>
      </c>
      <c r="CE36" s="70"/>
      <c r="CF36" s="70">
        <f>12000000-2000000</f>
        <v>10000000</v>
      </c>
      <c r="CG36" s="70"/>
      <c r="CH36" s="70">
        <f>10000</f>
        <v>10000</v>
      </c>
      <c r="CI36" s="70"/>
      <c r="CJ36" s="70"/>
      <c r="CK36" s="70"/>
      <c r="CL36" s="70"/>
      <c r="CM36" s="70"/>
      <c r="CN36" s="70"/>
      <c r="CO36" s="70"/>
      <c r="CP36" s="70"/>
      <c r="CQ36" s="70"/>
      <c r="CR36" s="70"/>
      <c r="CS36" s="70"/>
      <c r="CT36" s="39"/>
      <c r="CU36" s="39"/>
      <c r="CV36" s="39">
        <v>106351</v>
      </c>
      <c r="CW36" s="29">
        <f t="shared" si="0"/>
        <v>10220351</v>
      </c>
      <c r="CX36" s="70"/>
    </row>
    <row r="37" spans="1:102" ht="66.75" customHeight="1" x14ac:dyDescent="0.8">
      <c r="A37" s="12" t="s">
        <v>35</v>
      </c>
      <c r="B37" s="13" t="s">
        <v>69</v>
      </c>
      <c r="C37" s="28"/>
      <c r="D37" s="28"/>
      <c r="E37" s="28">
        <f>3226200+1150000</f>
        <v>4376200</v>
      </c>
      <c r="F37" s="99">
        <f>37758400-607500+404700-4683900-273300</f>
        <v>32598400</v>
      </c>
      <c r="G37" s="99">
        <f>43747600+2136000-830548.67</f>
        <v>45053051.329999998</v>
      </c>
      <c r="H37" s="99">
        <f>2226300+179100-177600-58300-9500+40928.95+90200</f>
        <v>2291128.9500000002</v>
      </c>
      <c r="I37" s="95">
        <f>817701-136739</f>
        <v>680962</v>
      </c>
      <c r="J37" s="69"/>
      <c r="K37" s="69"/>
      <c r="L37" s="69"/>
      <c r="M37" s="29">
        <f t="shared" si="1"/>
        <v>0</v>
      </c>
      <c r="N37" s="69"/>
      <c r="O37" s="69"/>
      <c r="P37" s="69"/>
      <c r="Q37" s="69"/>
      <c r="R37" s="69"/>
      <c r="S37" s="69">
        <f>676114-95000+56343+112686</f>
        <v>750143</v>
      </c>
      <c r="T37" s="69">
        <v>101954</v>
      </c>
      <c r="U37" s="69">
        <f>739075-554307</f>
        <v>184768</v>
      </c>
      <c r="V37" s="69">
        <v>824388</v>
      </c>
      <c r="W37" s="69"/>
      <c r="X37" s="69"/>
      <c r="Y37" s="69"/>
      <c r="Z37" s="29"/>
      <c r="AA37" s="29"/>
      <c r="AB37" s="29">
        <f t="shared" si="2"/>
        <v>0</v>
      </c>
      <c r="AC37" s="29"/>
      <c r="AD37" s="29"/>
      <c r="AE37" s="29">
        <f t="shared" si="3"/>
        <v>23513</v>
      </c>
      <c r="AF37" s="69"/>
      <c r="AG37" s="69"/>
      <c r="AH37" s="69">
        <f>96236-72723</f>
        <v>23513</v>
      </c>
      <c r="AI37" s="69"/>
      <c r="AJ37" s="69"/>
      <c r="AK37" s="69"/>
      <c r="AL37" s="69"/>
      <c r="AM37" s="29">
        <f t="shared" si="4"/>
        <v>0</v>
      </c>
      <c r="AN37" s="29">
        <f>61222-61222</f>
        <v>0</v>
      </c>
      <c r="AO37" s="29"/>
      <c r="AP37" s="29">
        <f t="shared" si="5"/>
        <v>91744</v>
      </c>
      <c r="AQ37" s="69">
        <v>44964</v>
      </c>
      <c r="AR37" s="69">
        <v>21978</v>
      </c>
      <c r="AS37" s="69">
        <v>17992</v>
      </c>
      <c r="AT37" s="69">
        <v>6810</v>
      </c>
      <c r="AU37" s="69"/>
      <c r="AV37" s="69"/>
      <c r="AW37" s="69"/>
      <c r="AX37" s="69"/>
      <c r="AY37" s="69"/>
      <c r="AZ37" s="69"/>
      <c r="BA37" s="69"/>
      <c r="BB37" s="69"/>
      <c r="BC37" s="69"/>
      <c r="BD37" s="69"/>
      <c r="BE37" s="69"/>
      <c r="BF37" s="69"/>
      <c r="BG37" s="70">
        <f>290000-50000+45000</f>
        <v>285000</v>
      </c>
      <c r="BH37" s="70"/>
      <c r="BI37" s="70"/>
      <c r="BJ37" s="70"/>
      <c r="BK37" s="70"/>
      <c r="BL37" s="70"/>
      <c r="BM37" s="70"/>
      <c r="BN37" s="70"/>
      <c r="BO37" s="70"/>
      <c r="BP37" s="70">
        <f>91000+33000</f>
        <v>124000</v>
      </c>
      <c r="BQ37" s="70"/>
      <c r="BR37" s="70"/>
      <c r="BS37" s="39"/>
      <c r="BT37" s="39"/>
      <c r="BU37" s="39"/>
      <c r="BV37" s="39"/>
      <c r="BW37" s="39"/>
      <c r="BX37" s="39"/>
      <c r="BY37" s="29">
        <f t="shared" si="6"/>
        <v>87385252.280000001</v>
      </c>
      <c r="BZ37" s="29"/>
      <c r="CA37" s="29"/>
      <c r="CB37" s="29"/>
      <c r="CC37" s="70"/>
      <c r="CD37" s="70"/>
      <c r="CE37" s="70"/>
      <c r="CF37" s="70"/>
      <c r="CG37" s="70"/>
      <c r="CH37" s="70">
        <v>2200</v>
      </c>
      <c r="CI37" s="70"/>
      <c r="CJ37" s="70"/>
      <c r="CK37" s="70"/>
      <c r="CL37" s="70"/>
      <c r="CM37" s="70"/>
      <c r="CN37" s="70"/>
      <c r="CO37" s="70"/>
      <c r="CP37" s="70"/>
      <c r="CQ37" s="70"/>
      <c r="CR37" s="70"/>
      <c r="CS37" s="70"/>
      <c r="CT37" s="39"/>
      <c r="CU37" s="39"/>
      <c r="CV37" s="39"/>
      <c r="CW37" s="29">
        <f t="shared" si="0"/>
        <v>2200</v>
      </c>
      <c r="CX37" s="70"/>
    </row>
    <row r="38" spans="1:102" ht="63" customHeight="1" x14ac:dyDescent="0.8">
      <c r="A38" s="12" t="s">
        <v>36</v>
      </c>
      <c r="B38" s="13" t="s">
        <v>70</v>
      </c>
      <c r="C38" s="28"/>
      <c r="D38" s="28"/>
      <c r="E38" s="28">
        <f>3201700+3270000</f>
        <v>6471700</v>
      </c>
      <c r="F38" s="99">
        <f>34876200-1349800+332500-4359200-356700</f>
        <v>29143000</v>
      </c>
      <c r="G38" s="99">
        <f>48685800-383000-884515.33</f>
        <v>47418284.670000002</v>
      </c>
      <c r="H38" s="99">
        <f>1486500-143800+71200+49600-5000-25683.34+65300</f>
        <v>1498116.66</v>
      </c>
      <c r="I38" s="95">
        <f>2015648-372406</f>
        <v>1643242</v>
      </c>
      <c r="J38" s="69">
        <f>300000+32513</f>
        <v>332513</v>
      </c>
      <c r="K38" s="69"/>
      <c r="L38" s="69"/>
      <c r="M38" s="29">
        <f t="shared" si="1"/>
        <v>0</v>
      </c>
      <c r="N38" s="69"/>
      <c r="O38" s="69"/>
      <c r="P38" s="69"/>
      <c r="Q38" s="69"/>
      <c r="R38" s="69"/>
      <c r="S38" s="69"/>
      <c r="T38" s="69"/>
      <c r="U38" s="69">
        <f>558636+50000+160000</f>
        <v>768636</v>
      </c>
      <c r="V38" s="69"/>
      <c r="W38" s="69"/>
      <c r="X38" s="69"/>
      <c r="Y38" s="69">
        <f>190000</f>
        <v>190000</v>
      </c>
      <c r="Z38" s="29">
        <f>1000000</f>
        <v>1000000</v>
      </c>
      <c r="AA38" s="29"/>
      <c r="AB38" s="29">
        <f t="shared" si="2"/>
        <v>451876</v>
      </c>
      <c r="AC38" s="29"/>
      <c r="AD38" s="110">
        <v>451876</v>
      </c>
      <c r="AE38" s="29">
        <f t="shared" si="3"/>
        <v>2737883</v>
      </c>
      <c r="AF38" s="69"/>
      <c r="AG38" s="69">
        <f>2679100</f>
        <v>2679100</v>
      </c>
      <c r="AH38" s="69">
        <f>144354-85571</f>
        <v>58783</v>
      </c>
      <c r="AI38" s="69"/>
      <c r="AJ38" s="69"/>
      <c r="AK38" s="69"/>
      <c r="AL38" s="69"/>
      <c r="AM38" s="29">
        <f t="shared" si="4"/>
        <v>267322</v>
      </c>
      <c r="AN38" s="29">
        <v>61222</v>
      </c>
      <c r="AO38" s="29">
        <v>206100</v>
      </c>
      <c r="AP38" s="29">
        <f t="shared" si="5"/>
        <v>467768</v>
      </c>
      <c r="AQ38" s="69">
        <v>112410</v>
      </c>
      <c r="AR38" s="69">
        <v>124875</v>
      </c>
      <c r="AS38" s="69">
        <v>215903</v>
      </c>
      <c r="AT38" s="69">
        <v>14580</v>
      </c>
      <c r="AU38" s="69"/>
      <c r="AV38" s="69"/>
      <c r="AW38" s="69"/>
      <c r="AX38" s="69"/>
      <c r="AY38" s="69"/>
      <c r="AZ38" s="69"/>
      <c r="BA38" s="69"/>
      <c r="BB38" s="69"/>
      <c r="BC38" s="69"/>
      <c r="BD38" s="69"/>
      <c r="BE38" s="69"/>
      <c r="BF38" s="69"/>
      <c r="BG38" s="70">
        <f>440000-278000</f>
        <v>162000</v>
      </c>
      <c r="BH38" s="70"/>
      <c r="BI38" s="70"/>
      <c r="BJ38" s="70"/>
      <c r="BK38" s="70"/>
      <c r="BL38" s="70"/>
      <c r="BM38" s="70"/>
      <c r="BN38" s="70"/>
      <c r="BO38" s="70"/>
      <c r="BP38" s="70">
        <v>91000</v>
      </c>
      <c r="BQ38" s="70"/>
      <c r="BR38" s="70"/>
      <c r="BS38" s="39"/>
      <c r="BT38" s="39"/>
      <c r="BU38" s="39"/>
      <c r="BV38" s="39"/>
      <c r="BW38" s="39"/>
      <c r="BX38" s="39"/>
      <c r="BY38" s="29">
        <f t="shared" si="6"/>
        <v>92643341.329999998</v>
      </c>
      <c r="BZ38" s="29"/>
      <c r="CA38" s="29"/>
      <c r="CB38" s="29"/>
      <c r="CC38" s="70">
        <f>400000-400000</f>
        <v>0</v>
      </c>
      <c r="CD38" s="70"/>
      <c r="CE38" s="70"/>
      <c r="CF38" s="70"/>
      <c r="CG38" s="70"/>
      <c r="CH38" s="70">
        <v>15800</v>
      </c>
      <c r="CI38" s="70"/>
      <c r="CJ38" s="70"/>
      <c r="CK38" s="70"/>
      <c r="CL38" s="70"/>
      <c r="CM38" s="70"/>
      <c r="CN38" s="70"/>
      <c r="CO38" s="70"/>
      <c r="CP38" s="70"/>
      <c r="CQ38" s="70"/>
      <c r="CR38" s="70"/>
      <c r="CS38" s="70"/>
      <c r="CT38" s="39"/>
      <c r="CU38" s="39"/>
      <c r="CV38" s="39"/>
      <c r="CW38" s="29">
        <f t="shared" si="0"/>
        <v>15800</v>
      </c>
      <c r="CX38" s="70"/>
    </row>
    <row r="39" spans="1:102" ht="66.75" customHeight="1" x14ac:dyDescent="0.8">
      <c r="A39" s="12" t="s">
        <v>37</v>
      </c>
      <c r="B39" s="13" t="s">
        <v>71</v>
      </c>
      <c r="C39" s="28"/>
      <c r="D39" s="28"/>
      <c r="E39" s="28">
        <f>2000300+1048100</f>
        <v>3048400</v>
      </c>
      <c r="F39" s="99">
        <f>37650600-1149300+161700-4695100-152600</f>
        <v>31815300</v>
      </c>
      <c r="G39" s="99">
        <f>34387200+277600-681262.03</f>
        <v>33983537.969999999</v>
      </c>
      <c r="H39" s="99">
        <f>3689700-7800-263500+93100-74600+28529.65+111700</f>
        <v>3577129.65</v>
      </c>
      <c r="I39" s="95">
        <f>3072494-575276</f>
        <v>2497218</v>
      </c>
      <c r="J39" s="69">
        <f>500000+956376</f>
        <v>1456376</v>
      </c>
      <c r="K39" s="69"/>
      <c r="L39" s="69"/>
      <c r="M39" s="29">
        <f t="shared" si="1"/>
        <v>0</v>
      </c>
      <c r="N39" s="69"/>
      <c r="O39" s="69"/>
      <c r="P39" s="69"/>
      <c r="Q39" s="69"/>
      <c r="R39" s="69"/>
      <c r="S39" s="69">
        <f>750877-102393+62573+125146</f>
        <v>836203</v>
      </c>
      <c r="T39" s="69">
        <v>113228</v>
      </c>
      <c r="U39" s="69">
        <f>537437-70000+40000</f>
        <v>507437</v>
      </c>
      <c r="V39" s="69"/>
      <c r="W39" s="91">
        <f>528920.01-900</f>
        <v>528020.01</v>
      </c>
      <c r="X39" s="69"/>
      <c r="Y39" s="69"/>
      <c r="Z39" s="29">
        <f>1000000-1000000</f>
        <v>0</v>
      </c>
      <c r="AA39" s="29"/>
      <c r="AB39" s="29">
        <f t="shared" si="2"/>
        <v>225938</v>
      </c>
      <c r="AC39" s="29"/>
      <c r="AD39" s="110">
        <v>225938</v>
      </c>
      <c r="AE39" s="29">
        <f t="shared" si="3"/>
        <v>2820178</v>
      </c>
      <c r="AF39" s="69"/>
      <c r="AG39" s="69">
        <f>2679100</f>
        <v>2679100</v>
      </c>
      <c r="AH39" s="69">
        <f>204502-63424</f>
        <v>141078</v>
      </c>
      <c r="AI39" s="69"/>
      <c r="AJ39" s="69"/>
      <c r="AK39" s="69"/>
      <c r="AL39" s="69"/>
      <c r="AM39" s="29">
        <f t="shared" si="4"/>
        <v>82444</v>
      </c>
      <c r="AN39" s="104">
        <f>122444-40000</f>
        <v>82444</v>
      </c>
      <c r="AO39" s="29"/>
      <c r="AP39" s="29">
        <f t="shared" si="5"/>
        <v>520896</v>
      </c>
      <c r="AQ39" s="69">
        <v>269784</v>
      </c>
      <c r="AR39" s="69">
        <v>163836</v>
      </c>
      <c r="AS39" s="69">
        <v>53976</v>
      </c>
      <c r="AT39" s="69">
        <v>33300</v>
      </c>
      <c r="AU39" s="69"/>
      <c r="AV39" s="69"/>
      <c r="AW39" s="69"/>
      <c r="AX39" s="69"/>
      <c r="AY39" s="69"/>
      <c r="AZ39" s="69"/>
      <c r="BA39" s="69"/>
      <c r="BB39" s="69"/>
      <c r="BC39" s="69"/>
      <c r="BD39" s="69"/>
      <c r="BE39" s="69"/>
      <c r="BF39" s="69"/>
      <c r="BG39" s="70">
        <v>100000</v>
      </c>
      <c r="BH39" s="70"/>
      <c r="BI39" s="70"/>
      <c r="BJ39" s="70"/>
      <c r="BK39" s="70"/>
      <c r="BL39" s="70">
        <f>550000-15344.5</f>
        <v>534655.5</v>
      </c>
      <c r="BM39" s="70"/>
      <c r="BN39" s="70"/>
      <c r="BO39" s="70"/>
      <c r="BP39" s="70">
        <v>91000</v>
      </c>
      <c r="BQ39" s="70"/>
      <c r="BR39" s="70"/>
      <c r="BS39" s="39"/>
      <c r="BT39" s="39"/>
      <c r="BU39" s="39"/>
      <c r="BV39" s="39"/>
      <c r="BW39" s="39"/>
      <c r="BX39" s="39"/>
      <c r="BY39" s="29">
        <f t="shared" si="6"/>
        <v>82737961.13000001</v>
      </c>
      <c r="BZ39" s="29"/>
      <c r="CA39" s="29"/>
      <c r="CB39" s="29"/>
      <c r="CC39" s="70"/>
      <c r="CD39" s="70"/>
      <c r="CE39" s="70"/>
      <c r="CF39" s="70"/>
      <c r="CG39" s="70"/>
      <c r="CH39" s="70">
        <v>15900</v>
      </c>
      <c r="CI39" s="70"/>
      <c r="CJ39" s="70"/>
      <c r="CK39" s="70"/>
      <c r="CL39" s="70"/>
      <c r="CM39" s="70">
        <v>10000</v>
      </c>
      <c r="CN39" s="70"/>
      <c r="CO39" s="70"/>
      <c r="CP39" s="70"/>
      <c r="CQ39" s="70"/>
      <c r="CR39" s="70"/>
      <c r="CS39" s="70"/>
      <c r="CT39" s="39"/>
      <c r="CU39" s="39"/>
      <c r="CV39" s="39"/>
      <c r="CW39" s="29">
        <f t="shared" si="0"/>
        <v>25900</v>
      </c>
      <c r="CX39" s="70"/>
    </row>
    <row r="40" spans="1:102" ht="63" customHeight="1" x14ac:dyDescent="0.8">
      <c r="A40" s="12" t="s">
        <v>38</v>
      </c>
      <c r="B40" s="13" t="s">
        <v>72</v>
      </c>
      <c r="C40" s="28"/>
      <c r="D40" s="28"/>
      <c r="E40" s="28">
        <f>1142700+1167000</f>
        <v>2309700</v>
      </c>
      <c r="F40" s="99">
        <f>49352700-1656600-120600-6267200-216900</f>
        <v>41091400</v>
      </c>
      <c r="G40" s="99">
        <f>92016700+1839400-1716109.68</f>
        <v>92139990.319999993</v>
      </c>
      <c r="H40" s="99">
        <f>962600-45800-79700-41400+13900+8650.77+47300</f>
        <v>865550.77</v>
      </c>
      <c r="I40" s="95">
        <f>2684163-428884</f>
        <v>2255279</v>
      </c>
      <c r="J40" s="69">
        <f>100000+5002</f>
        <v>105002</v>
      </c>
      <c r="K40" s="69"/>
      <c r="L40" s="69"/>
      <c r="M40" s="29">
        <f t="shared" si="1"/>
        <v>0</v>
      </c>
      <c r="N40" s="69"/>
      <c r="O40" s="69"/>
      <c r="P40" s="69"/>
      <c r="Q40" s="69"/>
      <c r="R40" s="69"/>
      <c r="S40" s="69">
        <f>607853+50654+101308</f>
        <v>759815</v>
      </c>
      <c r="T40" s="69">
        <v>91661</v>
      </c>
      <c r="U40" s="69">
        <f>811779+180000</f>
        <v>991779</v>
      </c>
      <c r="V40" s="69">
        <v>932617.91</v>
      </c>
      <c r="W40" s="69"/>
      <c r="X40" s="69"/>
      <c r="Y40" s="69"/>
      <c r="Z40" s="29"/>
      <c r="AA40" s="29"/>
      <c r="AB40" s="29">
        <f t="shared" si="2"/>
        <v>112969</v>
      </c>
      <c r="AC40" s="29"/>
      <c r="AD40" s="110">
        <v>112969</v>
      </c>
      <c r="AE40" s="29">
        <f t="shared" si="3"/>
        <v>58783</v>
      </c>
      <c r="AF40" s="69"/>
      <c r="AG40" s="69"/>
      <c r="AH40" s="69">
        <f>60148-1365</f>
        <v>58783</v>
      </c>
      <c r="AI40" s="69"/>
      <c r="AJ40" s="69"/>
      <c r="AK40" s="69"/>
      <c r="AL40" s="69"/>
      <c r="AM40" s="29">
        <f t="shared" si="4"/>
        <v>22761</v>
      </c>
      <c r="AN40" s="104">
        <f>30611-7850</f>
        <v>22761</v>
      </c>
      <c r="AO40" s="29"/>
      <c r="AP40" s="29">
        <f t="shared" si="5"/>
        <v>274832</v>
      </c>
      <c r="AQ40" s="69">
        <v>112410</v>
      </c>
      <c r="AR40" s="69">
        <v>75924</v>
      </c>
      <c r="AS40" s="69">
        <v>71968</v>
      </c>
      <c r="AT40" s="69">
        <v>14530</v>
      </c>
      <c r="AU40" s="69"/>
      <c r="AV40" s="69"/>
      <c r="AW40" s="69"/>
      <c r="AX40" s="69"/>
      <c r="AY40" s="69"/>
      <c r="AZ40" s="69"/>
      <c r="BA40" s="69"/>
      <c r="BB40" s="69"/>
      <c r="BC40" s="69"/>
      <c r="BD40" s="69"/>
      <c r="BE40" s="69"/>
      <c r="BF40" s="69">
        <f>700000+600000+505000</f>
        <v>1805000</v>
      </c>
      <c r="BG40" s="70">
        <f>200000+50000</f>
        <v>250000</v>
      </c>
      <c r="BH40" s="70"/>
      <c r="BI40" s="70"/>
      <c r="BJ40" s="70"/>
      <c r="BK40" s="70"/>
      <c r="BL40" s="70"/>
      <c r="BM40" s="70"/>
      <c r="BN40" s="70"/>
      <c r="BO40" s="70"/>
      <c r="BP40" s="70">
        <f>90000-60000</f>
        <v>30000</v>
      </c>
      <c r="BQ40" s="70"/>
      <c r="BR40" s="70"/>
      <c r="BS40" s="39"/>
      <c r="BT40" s="39"/>
      <c r="BU40" s="39"/>
      <c r="BV40" s="39"/>
      <c r="BW40" s="39"/>
      <c r="BX40" s="39"/>
      <c r="BY40" s="29">
        <f t="shared" si="6"/>
        <v>144097140</v>
      </c>
      <c r="BZ40" s="29"/>
      <c r="CA40" s="29"/>
      <c r="CB40" s="29"/>
      <c r="CC40" s="70"/>
      <c r="CD40" s="70"/>
      <c r="CE40" s="70"/>
      <c r="CF40" s="70"/>
      <c r="CG40" s="70"/>
      <c r="CH40" s="70">
        <v>9500</v>
      </c>
      <c r="CI40" s="70"/>
      <c r="CJ40" s="70"/>
      <c r="CK40" s="70"/>
      <c r="CL40" s="70"/>
      <c r="CM40" s="70"/>
      <c r="CN40" s="70"/>
      <c r="CO40" s="70"/>
      <c r="CP40" s="70"/>
      <c r="CQ40" s="70"/>
      <c r="CR40" s="70"/>
      <c r="CS40" s="70"/>
      <c r="CT40" s="39"/>
      <c r="CU40" s="39"/>
      <c r="CV40" s="39"/>
      <c r="CW40" s="29">
        <f t="shared" si="0"/>
        <v>9500</v>
      </c>
      <c r="CX40" s="70"/>
    </row>
    <row r="41" spans="1:102" ht="63" customHeight="1" x14ac:dyDescent="0.8">
      <c r="A41" s="12" t="s">
        <v>39</v>
      </c>
      <c r="B41" s="13" t="s">
        <v>73</v>
      </c>
      <c r="C41" s="28"/>
      <c r="D41" s="28"/>
      <c r="E41" s="28">
        <f>4740300+4841500</f>
        <v>9581800</v>
      </c>
      <c r="F41" s="99">
        <f>87587500+236100+1438000-10678400-781700</f>
        <v>77801500</v>
      </c>
      <c r="G41" s="99">
        <f>86734500-819100-1579245.73</f>
        <v>84336154.269999996</v>
      </c>
      <c r="H41" s="99">
        <f>3205300+217800-234600-121200-95500-8082.09+105800</f>
        <v>3069517.91</v>
      </c>
      <c r="I41" s="95">
        <f>8802383-1486146</f>
        <v>7316237</v>
      </c>
      <c r="J41" s="69">
        <f>600000+1395503</f>
        <v>1995503</v>
      </c>
      <c r="K41" s="69"/>
      <c r="L41" s="69"/>
      <c r="M41" s="29">
        <f t="shared" si="1"/>
        <v>0</v>
      </c>
      <c r="N41" s="69"/>
      <c r="O41" s="69"/>
      <c r="P41" s="69"/>
      <c r="Q41" s="69"/>
      <c r="R41" s="69"/>
      <c r="S41" s="69">
        <f>659862+54989+109978</f>
        <v>824829</v>
      </c>
      <c r="T41" s="69">
        <v>99503</v>
      </c>
      <c r="U41" s="69">
        <f>803738+100000</f>
        <v>903738</v>
      </c>
      <c r="V41" s="69"/>
      <c r="W41" s="69"/>
      <c r="X41" s="69"/>
      <c r="Y41" s="69"/>
      <c r="Z41" s="29"/>
      <c r="AA41" s="29"/>
      <c r="AB41" s="29">
        <f t="shared" si="2"/>
        <v>338907</v>
      </c>
      <c r="AC41" s="29"/>
      <c r="AD41" s="110">
        <v>338907</v>
      </c>
      <c r="AE41" s="29">
        <f t="shared" si="3"/>
        <v>282156</v>
      </c>
      <c r="AF41" s="69"/>
      <c r="AG41" s="69"/>
      <c r="AH41" s="69">
        <f>348856-66700</f>
        <v>282156</v>
      </c>
      <c r="AI41" s="69"/>
      <c r="AJ41" s="69"/>
      <c r="AK41" s="69"/>
      <c r="AL41" s="69"/>
      <c r="AM41" s="29">
        <f t="shared" si="4"/>
        <v>259615.6</v>
      </c>
      <c r="AN41" s="104">
        <f>91833-38317.4</f>
        <v>53515.6</v>
      </c>
      <c r="AO41" s="29">
        <v>206100</v>
      </c>
      <c r="AP41" s="29">
        <f t="shared" si="5"/>
        <v>1339291</v>
      </c>
      <c r="AQ41" s="69">
        <v>539568</v>
      </c>
      <c r="AR41" s="69">
        <v>358641</v>
      </c>
      <c r="AS41" s="69">
        <v>377830</v>
      </c>
      <c r="AT41" s="69">
        <v>63252</v>
      </c>
      <c r="AU41" s="69"/>
      <c r="AV41" s="69"/>
      <c r="AW41" s="69"/>
      <c r="AX41" s="69"/>
      <c r="AY41" s="69"/>
      <c r="AZ41" s="69"/>
      <c r="BA41" s="69"/>
      <c r="BB41" s="69"/>
      <c r="BC41" s="69"/>
      <c r="BD41" s="69"/>
      <c r="BE41" s="69"/>
      <c r="BF41" s="69"/>
      <c r="BG41" s="70">
        <f>400000-30000+50000</f>
        <v>420000</v>
      </c>
      <c r="BH41" s="70"/>
      <c r="BI41" s="70"/>
      <c r="BJ41" s="70"/>
      <c r="BK41" s="70"/>
      <c r="BL41" s="70"/>
      <c r="BM41" s="70"/>
      <c r="BN41" s="70"/>
      <c r="BO41" s="70"/>
      <c r="BP41" s="70">
        <f>91000-43000</f>
        <v>48000</v>
      </c>
      <c r="BQ41" s="70"/>
      <c r="BR41" s="70"/>
      <c r="BS41" s="39"/>
      <c r="BT41" s="39"/>
      <c r="BU41" s="39"/>
      <c r="BV41" s="39"/>
      <c r="BW41" s="39"/>
      <c r="BX41" s="39"/>
      <c r="BY41" s="29">
        <f t="shared" si="6"/>
        <v>188616751.77999997</v>
      </c>
      <c r="BZ41" s="29"/>
      <c r="CA41" s="29"/>
      <c r="CB41" s="29"/>
      <c r="CC41" s="70"/>
      <c r="CD41" s="70"/>
      <c r="CE41" s="70"/>
      <c r="CF41" s="70">
        <v>438958</v>
      </c>
      <c r="CG41" s="70"/>
      <c r="CH41" s="70">
        <f>31100</f>
        <v>31100</v>
      </c>
      <c r="CI41" s="70"/>
      <c r="CJ41" s="70"/>
      <c r="CK41" s="70"/>
      <c r="CL41" s="70"/>
      <c r="CM41" s="70"/>
      <c r="CN41" s="70"/>
      <c r="CO41" s="70"/>
      <c r="CP41" s="70"/>
      <c r="CQ41" s="70"/>
      <c r="CR41" s="70"/>
      <c r="CS41" s="70"/>
      <c r="CT41" s="39"/>
      <c r="CU41" s="39"/>
      <c r="CV41" s="39"/>
      <c r="CW41" s="29">
        <f t="shared" si="0"/>
        <v>470058</v>
      </c>
      <c r="CX41" s="70"/>
    </row>
    <row r="42" spans="1:102" ht="66.75" customHeight="1" x14ac:dyDescent="0.8">
      <c r="A42" s="12" t="s">
        <v>40</v>
      </c>
      <c r="B42" s="13" t="s">
        <v>74</v>
      </c>
      <c r="C42" s="28"/>
      <c r="D42" s="28"/>
      <c r="E42" s="28">
        <f>5399000+4174300</f>
        <v>9573300</v>
      </c>
      <c r="F42" s="99">
        <f>61490300-237100+334800-8443100-414300</f>
        <v>52730600</v>
      </c>
      <c r="G42" s="99">
        <f>72714800-231300-1301511.82</f>
        <v>71181988.180000007</v>
      </c>
      <c r="H42" s="99">
        <f>1263800-502400+553500-59700-15200-6877.94+53100</f>
        <v>1286222.06</v>
      </c>
      <c r="I42" s="95">
        <f>2117687-391259</f>
        <v>1726428</v>
      </c>
      <c r="J42" s="69">
        <f>490000+2294371</f>
        <v>2784371</v>
      </c>
      <c r="K42" s="69"/>
      <c r="L42" s="69"/>
      <c r="M42" s="29">
        <f t="shared" si="1"/>
        <v>0</v>
      </c>
      <c r="N42" s="69"/>
      <c r="O42" s="69"/>
      <c r="P42" s="69"/>
      <c r="Q42" s="69"/>
      <c r="R42" s="69"/>
      <c r="S42" s="69">
        <f>1114939+591537+584708+352490</f>
        <v>2643674</v>
      </c>
      <c r="T42" s="69">
        <v>168126</v>
      </c>
      <c r="U42" s="69">
        <f>1012292-137250</f>
        <v>875042</v>
      </c>
      <c r="V42" s="69">
        <f>676653.96</f>
        <v>676653.96</v>
      </c>
      <c r="W42" s="69"/>
      <c r="X42" s="69"/>
      <c r="Y42" s="69"/>
      <c r="Z42" s="29"/>
      <c r="AA42" s="29"/>
      <c r="AB42" s="29">
        <f t="shared" si="2"/>
        <v>0</v>
      </c>
      <c r="AC42" s="29"/>
      <c r="AD42" s="29"/>
      <c r="AE42" s="29">
        <f t="shared" si="3"/>
        <v>23513</v>
      </c>
      <c r="AF42" s="69"/>
      <c r="AG42" s="69">
        <f>1339500-1339500</f>
        <v>0</v>
      </c>
      <c r="AH42" s="69">
        <f>276679-253166</f>
        <v>23513</v>
      </c>
      <c r="AI42" s="69"/>
      <c r="AJ42" s="69"/>
      <c r="AK42" s="69"/>
      <c r="AL42" s="69"/>
      <c r="AM42" s="29">
        <f t="shared" si="4"/>
        <v>0</v>
      </c>
      <c r="AN42" s="29">
        <f>1010163-1010163</f>
        <v>0</v>
      </c>
      <c r="AO42" s="29"/>
      <c r="AP42" s="29">
        <f t="shared" si="5"/>
        <v>112210</v>
      </c>
      <c r="AQ42" s="69">
        <v>44964</v>
      </c>
      <c r="AR42" s="69">
        <v>17982</v>
      </c>
      <c r="AS42" s="69">
        <v>35984</v>
      </c>
      <c r="AT42" s="69">
        <v>13280</v>
      </c>
      <c r="AU42" s="69"/>
      <c r="AV42" s="69"/>
      <c r="AW42" s="69"/>
      <c r="AX42" s="69"/>
      <c r="AY42" s="69"/>
      <c r="AZ42" s="69"/>
      <c r="BA42" s="69"/>
      <c r="BB42" s="69"/>
      <c r="BC42" s="69"/>
      <c r="BD42" s="69"/>
      <c r="BE42" s="69"/>
      <c r="BF42" s="69"/>
      <c r="BG42" s="70">
        <f>867000-130000</f>
        <v>737000</v>
      </c>
      <c r="BH42" s="70"/>
      <c r="BI42" s="70"/>
      <c r="BJ42" s="70"/>
      <c r="BK42" s="70"/>
      <c r="BL42" s="70"/>
      <c r="BM42" s="70"/>
      <c r="BN42" s="70"/>
      <c r="BO42" s="70"/>
      <c r="BP42" s="70">
        <v>91000</v>
      </c>
      <c r="BQ42" s="70"/>
      <c r="BR42" s="70"/>
      <c r="BS42" s="39"/>
      <c r="BT42" s="39"/>
      <c r="BU42" s="39"/>
      <c r="BV42" s="39"/>
      <c r="BW42" s="39"/>
      <c r="BX42" s="39"/>
      <c r="BY42" s="29">
        <f t="shared" si="6"/>
        <v>144610128.20000002</v>
      </c>
      <c r="BZ42" s="29"/>
      <c r="CA42" s="29"/>
      <c r="CB42" s="29"/>
      <c r="CC42" s="70"/>
      <c r="CD42" s="70"/>
      <c r="CE42" s="70"/>
      <c r="CF42" s="70"/>
      <c r="CG42" s="70"/>
      <c r="CH42" s="70">
        <f>800</f>
        <v>800</v>
      </c>
      <c r="CI42" s="70"/>
      <c r="CJ42" s="70"/>
      <c r="CK42" s="70"/>
      <c r="CL42" s="70"/>
      <c r="CM42" s="70"/>
      <c r="CN42" s="70"/>
      <c r="CO42" s="70"/>
      <c r="CP42" s="70"/>
      <c r="CQ42" s="70"/>
      <c r="CR42" s="70"/>
      <c r="CS42" s="70"/>
      <c r="CT42" s="39"/>
      <c r="CU42" s="39"/>
      <c r="CV42" s="39"/>
      <c r="CW42" s="29">
        <f t="shared" si="0"/>
        <v>800</v>
      </c>
      <c r="CX42" s="70"/>
    </row>
    <row r="43" spans="1:102" ht="63" customHeight="1" x14ac:dyDescent="0.8">
      <c r="A43" s="12" t="s">
        <v>41</v>
      </c>
      <c r="B43" s="13" t="s">
        <v>75</v>
      </c>
      <c r="C43" s="28"/>
      <c r="D43" s="28"/>
      <c r="E43" s="28">
        <f>2600600+2656100</f>
        <v>5256700</v>
      </c>
      <c r="F43" s="99">
        <f>71770400-23800-648800-8381600-433100</f>
        <v>62283100</v>
      </c>
      <c r="G43" s="99">
        <f>72750900+2352900-1395940.44</f>
        <v>73707859.560000002</v>
      </c>
      <c r="H43" s="99">
        <f>918200+787200-120400-52600+345100-24918.18+134900</f>
        <v>1987481.82</v>
      </c>
      <c r="I43" s="95">
        <f>2123565-392344</f>
        <v>1731221</v>
      </c>
      <c r="J43" s="69">
        <f>1153100</f>
        <v>1153100</v>
      </c>
      <c r="K43" s="69">
        <v>121000</v>
      </c>
      <c r="L43" s="69"/>
      <c r="M43" s="29">
        <f t="shared" si="1"/>
        <v>0</v>
      </c>
      <c r="N43" s="69"/>
      <c r="O43" s="69"/>
      <c r="P43" s="69"/>
      <c r="Q43" s="69"/>
      <c r="R43" s="69"/>
      <c r="S43" s="69">
        <f>887400-161344+73950+147900</f>
        <v>947906</v>
      </c>
      <c r="T43" s="69">
        <v>133815</v>
      </c>
      <c r="U43" s="69">
        <f>829097-313457-69092</f>
        <v>446548</v>
      </c>
      <c r="V43" s="69"/>
      <c r="W43" s="69"/>
      <c r="X43" s="69"/>
      <c r="Y43" s="69"/>
      <c r="Z43" s="29"/>
      <c r="AA43" s="29"/>
      <c r="AB43" s="29">
        <f t="shared" si="2"/>
        <v>451876</v>
      </c>
      <c r="AC43" s="29"/>
      <c r="AD43" s="110">
        <v>451876</v>
      </c>
      <c r="AE43" s="29">
        <f t="shared" si="3"/>
        <v>152835</v>
      </c>
      <c r="AF43" s="69"/>
      <c r="AG43" s="69"/>
      <c r="AH43" s="69">
        <f>156384-3549</f>
        <v>152835</v>
      </c>
      <c r="AI43" s="69"/>
      <c r="AJ43" s="69"/>
      <c r="AK43" s="69"/>
      <c r="AL43" s="69"/>
      <c r="AM43" s="29">
        <f t="shared" si="4"/>
        <v>61222</v>
      </c>
      <c r="AN43" s="29">
        <v>61222</v>
      </c>
      <c r="AO43" s="29"/>
      <c r="AP43" s="29">
        <f t="shared" si="5"/>
        <v>745636</v>
      </c>
      <c r="AQ43" s="69">
        <v>292266</v>
      </c>
      <c r="AR43" s="69">
        <v>140859</v>
      </c>
      <c r="AS43" s="69">
        <v>287871</v>
      </c>
      <c r="AT43" s="69">
        <v>24640</v>
      </c>
      <c r="AU43" s="69"/>
      <c r="AV43" s="69"/>
      <c r="AW43" s="69"/>
      <c r="AX43" s="69"/>
      <c r="AY43" s="69"/>
      <c r="AZ43" s="69"/>
      <c r="BA43" s="69"/>
      <c r="BB43" s="69"/>
      <c r="BC43" s="69"/>
      <c r="BD43" s="69"/>
      <c r="BE43" s="69"/>
      <c r="BF43" s="69">
        <f>900000</f>
        <v>900000</v>
      </c>
      <c r="BG43" s="70">
        <f>665000+125000</f>
        <v>790000</v>
      </c>
      <c r="BH43" s="70"/>
      <c r="BI43" s="70"/>
      <c r="BJ43" s="70"/>
      <c r="BK43" s="70"/>
      <c r="BL43" s="70"/>
      <c r="BM43" s="70"/>
      <c r="BN43" s="70"/>
      <c r="BO43" s="70"/>
      <c r="BP43" s="70">
        <v>91000</v>
      </c>
      <c r="BQ43" s="70"/>
      <c r="BR43" s="70">
        <f>915000+700000+730000</f>
        <v>2345000</v>
      </c>
      <c r="BS43" s="39"/>
      <c r="BT43" s="39"/>
      <c r="BU43" s="39"/>
      <c r="BV43" s="39"/>
      <c r="BW43" s="39"/>
      <c r="BX43" s="39"/>
      <c r="BY43" s="29">
        <f t="shared" si="6"/>
        <v>153306300.38</v>
      </c>
      <c r="BZ43" s="29"/>
      <c r="CA43" s="29"/>
      <c r="CB43" s="29"/>
      <c r="CC43" s="70"/>
      <c r="CD43" s="70"/>
      <c r="CE43" s="70"/>
      <c r="CF43" s="70"/>
      <c r="CG43" s="70"/>
      <c r="CH43" s="70">
        <v>15700</v>
      </c>
      <c r="CI43" s="70"/>
      <c r="CJ43" s="70"/>
      <c r="CK43" s="70"/>
      <c r="CL43" s="70"/>
      <c r="CM43" s="70"/>
      <c r="CN43" s="70"/>
      <c r="CO43" s="70"/>
      <c r="CP43" s="70"/>
      <c r="CQ43" s="70"/>
      <c r="CR43" s="70"/>
      <c r="CS43" s="70"/>
      <c r="CT43" s="39"/>
      <c r="CU43" s="39"/>
      <c r="CV43" s="39"/>
      <c r="CW43" s="29">
        <f t="shared" si="0"/>
        <v>15700</v>
      </c>
      <c r="CX43" s="70"/>
    </row>
    <row r="44" spans="1:102" ht="59.25" customHeight="1" x14ac:dyDescent="0.8">
      <c r="A44" s="12" t="s">
        <v>42</v>
      </c>
      <c r="B44" s="13" t="s">
        <v>76</v>
      </c>
      <c r="C44" s="28"/>
      <c r="D44" s="28"/>
      <c r="E44" s="28">
        <f>1462300+1493500</f>
        <v>2955800</v>
      </c>
      <c r="F44" s="99">
        <f>42417500+1050200+571800-5385100-472900</f>
        <v>38181500</v>
      </c>
      <c r="G44" s="99">
        <f>55845200-2549200-1072248.85</f>
        <v>52223751.149999999</v>
      </c>
      <c r="H44" s="99">
        <f>2127500+80200-229900+81500-114900-5330.48+57500</f>
        <v>1996569.52</v>
      </c>
      <c r="I44" s="95">
        <f>2321233-428865</f>
        <v>1892368</v>
      </c>
      <c r="J44" s="69">
        <f>748600+18757</f>
        <v>767357</v>
      </c>
      <c r="K44" s="69"/>
      <c r="L44" s="69"/>
      <c r="M44" s="29">
        <f t="shared" si="1"/>
        <v>1400</v>
      </c>
      <c r="N44" s="69"/>
      <c r="O44" s="69"/>
      <c r="P44" s="69"/>
      <c r="Q44" s="69"/>
      <c r="R44" s="69">
        <f>1400</f>
        <v>1400</v>
      </c>
      <c r="S44" s="69"/>
      <c r="T44" s="69"/>
      <c r="U44" s="69">
        <f>511741+100000</f>
        <v>611741</v>
      </c>
      <c r="V44" s="69"/>
      <c r="W44" s="69"/>
      <c r="X44" s="69"/>
      <c r="Y44" s="69"/>
      <c r="Z44" s="29">
        <f>500000</f>
        <v>500000</v>
      </c>
      <c r="AA44" s="29"/>
      <c r="AB44" s="29">
        <f t="shared" si="2"/>
        <v>185500</v>
      </c>
      <c r="AC44" s="110">
        <f>185500</f>
        <v>185500</v>
      </c>
      <c r="AD44" s="29"/>
      <c r="AE44" s="29">
        <f t="shared" si="3"/>
        <v>94052</v>
      </c>
      <c r="AF44" s="69"/>
      <c r="AG44" s="69"/>
      <c r="AH44" s="69">
        <f>144354-50302</f>
        <v>94052</v>
      </c>
      <c r="AI44" s="69"/>
      <c r="AJ44" s="69"/>
      <c r="AK44" s="69"/>
      <c r="AL44" s="69"/>
      <c r="AM44" s="29">
        <f t="shared" si="4"/>
        <v>0</v>
      </c>
      <c r="AN44" s="29"/>
      <c r="AO44" s="29"/>
      <c r="AP44" s="29">
        <f t="shared" si="5"/>
        <v>410528</v>
      </c>
      <c r="AQ44" s="69">
        <v>179856</v>
      </c>
      <c r="AR44" s="69">
        <v>63936</v>
      </c>
      <c r="AS44" s="69">
        <v>143936</v>
      </c>
      <c r="AT44" s="69">
        <v>22800</v>
      </c>
      <c r="AU44" s="69"/>
      <c r="AV44" s="69"/>
      <c r="AW44" s="69"/>
      <c r="AX44" s="69"/>
      <c r="AY44" s="69"/>
      <c r="AZ44" s="69"/>
      <c r="BA44" s="69"/>
      <c r="BB44" s="69"/>
      <c r="BC44" s="69"/>
      <c r="BD44" s="69"/>
      <c r="BE44" s="69"/>
      <c r="BF44" s="69">
        <f>450000+1000000+600000</f>
        <v>2050000</v>
      </c>
      <c r="BG44" s="70">
        <f>351850-7100</f>
        <v>344750</v>
      </c>
      <c r="BH44" s="70"/>
      <c r="BI44" s="70"/>
      <c r="BJ44" s="70"/>
      <c r="BK44" s="70"/>
      <c r="BL44" s="70"/>
      <c r="BM44" s="70"/>
      <c r="BN44" s="70"/>
      <c r="BO44" s="70"/>
      <c r="BP44" s="70">
        <f>91000-25000</f>
        <v>66000</v>
      </c>
      <c r="BQ44" s="70"/>
      <c r="BR44" s="70"/>
      <c r="BS44" s="39"/>
      <c r="BT44" s="39"/>
      <c r="BU44" s="39"/>
      <c r="BV44" s="39"/>
      <c r="BW44" s="39"/>
      <c r="BX44" s="39"/>
      <c r="BY44" s="29">
        <f t="shared" si="6"/>
        <v>102281316.67</v>
      </c>
      <c r="BZ44" s="29"/>
      <c r="CA44" s="29"/>
      <c r="CB44" s="29"/>
      <c r="CC44" s="70"/>
      <c r="CD44" s="70"/>
      <c r="CE44" s="70"/>
      <c r="CF44" s="70"/>
      <c r="CG44" s="70"/>
      <c r="CH44" s="70">
        <v>5600</v>
      </c>
      <c r="CI44" s="70"/>
      <c r="CJ44" s="70"/>
      <c r="CK44" s="70"/>
      <c r="CL44" s="70"/>
      <c r="CM44" s="70"/>
      <c r="CN44" s="70"/>
      <c r="CO44" s="70"/>
      <c r="CP44" s="70"/>
      <c r="CQ44" s="70"/>
      <c r="CR44" s="70"/>
      <c r="CS44" s="70"/>
      <c r="CT44" s="39"/>
      <c r="CU44" s="39"/>
      <c r="CV44" s="39"/>
      <c r="CW44" s="29">
        <f t="shared" si="0"/>
        <v>5600</v>
      </c>
      <c r="CX44" s="70"/>
    </row>
    <row r="45" spans="1:102" ht="63" customHeight="1" x14ac:dyDescent="0.8">
      <c r="A45" s="12" t="s">
        <v>43</v>
      </c>
      <c r="B45" s="13" t="s">
        <v>77</v>
      </c>
      <c r="C45" s="28"/>
      <c r="D45" s="28"/>
      <c r="E45" s="28">
        <f>992300+1013500</f>
        <v>2005800</v>
      </c>
      <c r="F45" s="99">
        <f>55280000-15500+329800-6764900-464000</f>
        <v>48365400</v>
      </c>
      <c r="G45" s="99">
        <f>76719900+1361100-1475975.6</f>
        <v>76605024.400000006</v>
      </c>
      <c r="H45" s="99">
        <f>2298800-115000-125100-103600+9700+40908.23+120700</f>
        <v>2126408.23</v>
      </c>
      <c r="I45" s="95">
        <f>5698506-635000-1052840</f>
        <v>4010666</v>
      </c>
      <c r="J45" s="69"/>
      <c r="K45" s="69"/>
      <c r="L45" s="69"/>
      <c r="M45" s="29">
        <f t="shared" si="1"/>
        <v>200</v>
      </c>
      <c r="N45" s="69"/>
      <c r="O45" s="69"/>
      <c r="P45" s="69"/>
      <c r="Q45" s="69"/>
      <c r="R45" s="69">
        <f>200</f>
        <v>200</v>
      </c>
      <c r="S45" s="69"/>
      <c r="T45" s="69"/>
      <c r="U45" s="69">
        <f>658330-274305-85003.22</f>
        <v>299021.78000000003</v>
      </c>
      <c r="V45" s="91">
        <f>784884</f>
        <v>784884</v>
      </c>
      <c r="W45" s="69"/>
      <c r="X45" s="69"/>
      <c r="Y45" s="69"/>
      <c r="Z45" s="29"/>
      <c r="AA45" s="29"/>
      <c r="AB45" s="29">
        <f t="shared" si="2"/>
        <v>62900</v>
      </c>
      <c r="AC45" s="110">
        <f>62900</f>
        <v>62900</v>
      </c>
      <c r="AD45" s="29"/>
      <c r="AE45" s="29">
        <f t="shared" si="3"/>
        <v>47026</v>
      </c>
      <c r="AF45" s="69"/>
      <c r="AG45" s="69"/>
      <c r="AH45" s="69">
        <f>48118-1092</f>
        <v>47026</v>
      </c>
      <c r="AI45" s="69"/>
      <c r="AJ45" s="69"/>
      <c r="AK45" s="69"/>
      <c r="AL45" s="69"/>
      <c r="AM45" s="29">
        <f t="shared" si="4"/>
        <v>0</v>
      </c>
      <c r="AN45" s="29"/>
      <c r="AO45" s="29"/>
      <c r="AP45" s="29">
        <f t="shared" si="5"/>
        <v>236340</v>
      </c>
      <c r="AQ45" s="69">
        <v>89928</v>
      </c>
      <c r="AR45" s="69">
        <v>47952</v>
      </c>
      <c r="AS45" s="69">
        <v>89960</v>
      </c>
      <c r="AT45" s="69">
        <v>8500</v>
      </c>
      <c r="AU45" s="69"/>
      <c r="AV45" s="69"/>
      <c r="AW45" s="69"/>
      <c r="AX45" s="69"/>
      <c r="AY45" s="69"/>
      <c r="AZ45" s="69"/>
      <c r="BA45" s="69"/>
      <c r="BB45" s="69"/>
      <c r="BC45" s="69"/>
      <c r="BD45" s="69"/>
      <c r="BE45" s="69"/>
      <c r="BF45" s="69">
        <f>450000+350000</f>
        <v>800000</v>
      </c>
      <c r="BG45" s="70">
        <f>460000-70000+50000</f>
        <v>440000</v>
      </c>
      <c r="BH45" s="70"/>
      <c r="BI45" s="70"/>
      <c r="BJ45" s="70"/>
      <c r="BK45" s="70"/>
      <c r="BL45" s="70"/>
      <c r="BM45" s="70"/>
      <c r="BN45" s="70"/>
      <c r="BO45" s="70"/>
      <c r="BP45" s="70">
        <v>91000</v>
      </c>
      <c r="BQ45" s="70"/>
      <c r="BR45" s="70"/>
      <c r="BS45" s="39"/>
      <c r="BT45" s="39"/>
      <c r="BU45" s="39"/>
      <c r="BV45" s="39"/>
      <c r="BW45" s="39"/>
      <c r="BX45" s="39"/>
      <c r="BY45" s="29">
        <f t="shared" si="6"/>
        <v>135874670.41000003</v>
      </c>
      <c r="BZ45" s="29"/>
      <c r="CA45" s="29"/>
      <c r="CB45" s="29"/>
      <c r="CC45" s="70"/>
      <c r="CD45" s="70"/>
      <c r="CE45" s="70"/>
      <c r="CF45" s="70"/>
      <c r="CG45" s="70"/>
      <c r="CH45" s="70">
        <f>6200</f>
        <v>6200</v>
      </c>
      <c r="CI45" s="70"/>
      <c r="CJ45" s="70"/>
      <c r="CK45" s="70"/>
      <c r="CL45" s="70"/>
      <c r="CM45" s="70"/>
      <c r="CN45" s="70"/>
      <c r="CO45" s="70"/>
      <c r="CP45" s="70"/>
      <c r="CQ45" s="70"/>
      <c r="CR45" s="70"/>
      <c r="CS45" s="70"/>
      <c r="CT45" s="39"/>
      <c r="CU45" s="39"/>
      <c r="CV45" s="39"/>
      <c r="CW45" s="29">
        <f t="shared" ref="CW45:CW76" si="12">SUM(BZ45:CV45)</f>
        <v>6200</v>
      </c>
      <c r="CX45" s="70"/>
    </row>
    <row r="46" spans="1:102" ht="59.25" customHeight="1" x14ac:dyDescent="0.8">
      <c r="A46" s="12" t="s">
        <v>44</v>
      </c>
      <c r="B46" s="13" t="s">
        <v>78</v>
      </c>
      <c r="C46" s="28"/>
      <c r="D46" s="28"/>
      <c r="E46" s="28">
        <f>1477800+1509400</f>
        <v>2987200</v>
      </c>
      <c r="F46" s="99">
        <f>42979800+1573700+991000-5682800-487600</f>
        <v>39374100</v>
      </c>
      <c r="G46" s="99">
        <f>71648200-687600-1350569.69</f>
        <v>69610030.310000002</v>
      </c>
      <c r="H46" s="99">
        <f>1143500-625500+285900+433400+28700-4035.74+93000</f>
        <v>1354964.26</v>
      </c>
      <c r="I46" s="95">
        <f>1781790-229714</f>
        <v>1552076</v>
      </c>
      <c r="J46" s="69"/>
      <c r="K46" s="69"/>
      <c r="L46" s="69"/>
      <c r="M46" s="29">
        <f t="shared" si="1"/>
        <v>0</v>
      </c>
      <c r="N46" s="69"/>
      <c r="O46" s="69"/>
      <c r="P46" s="69"/>
      <c r="Q46" s="69"/>
      <c r="R46" s="69"/>
      <c r="S46" s="69"/>
      <c r="T46" s="69"/>
      <c r="U46" s="69">
        <f>297452-297452</f>
        <v>0</v>
      </c>
      <c r="V46" s="69"/>
      <c r="W46" s="69"/>
      <c r="X46" s="69"/>
      <c r="Y46" s="69"/>
      <c r="Z46" s="29"/>
      <c r="AA46" s="29"/>
      <c r="AB46" s="29">
        <f t="shared" si="2"/>
        <v>0</v>
      </c>
      <c r="AC46" s="29"/>
      <c r="AD46" s="29"/>
      <c r="AE46" s="29">
        <f t="shared" si="3"/>
        <v>23513</v>
      </c>
      <c r="AF46" s="69"/>
      <c r="AG46" s="69">
        <f>1339500-1339500</f>
        <v>0</v>
      </c>
      <c r="AH46" s="69">
        <f>48118-24605</f>
        <v>23513</v>
      </c>
      <c r="AI46" s="69"/>
      <c r="AJ46" s="69"/>
      <c r="AK46" s="69"/>
      <c r="AL46" s="69"/>
      <c r="AM46" s="29">
        <f t="shared" si="4"/>
        <v>0</v>
      </c>
      <c r="AN46" s="29">
        <f>30611-30611</f>
        <v>0</v>
      </c>
      <c r="AO46" s="29"/>
      <c r="AP46" s="29">
        <f t="shared" si="5"/>
        <v>97607</v>
      </c>
      <c r="AQ46" s="69">
        <v>44964</v>
      </c>
      <c r="AR46" s="69">
        <v>12987</v>
      </c>
      <c r="AS46" s="69">
        <v>35984</v>
      </c>
      <c r="AT46" s="69">
        <v>3672</v>
      </c>
      <c r="AU46" s="69"/>
      <c r="AV46" s="69"/>
      <c r="AW46" s="69"/>
      <c r="AX46" s="69"/>
      <c r="AY46" s="69"/>
      <c r="AZ46" s="69"/>
      <c r="BA46" s="69"/>
      <c r="BB46" s="69"/>
      <c r="BC46" s="69"/>
      <c r="BD46" s="69"/>
      <c r="BE46" s="69"/>
      <c r="BF46" s="69">
        <f>350000+500000</f>
        <v>850000</v>
      </c>
      <c r="BG46" s="70">
        <v>380000</v>
      </c>
      <c r="BH46" s="70"/>
      <c r="BI46" s="70"/>
      <c r="BJ46" s="70"/>
      <c r="BK46" s="70"/>
      <c r="BL46" s="70"/>
      <c r="BM46" s="70"/>
      <c r="BN46" s="70"/>
      <c r="BO46" s="70"/>
      <c r="BP46" s="70">
        <f>91000+32000+75000</f>
        <v>198000</v>
      </c>
      <c r="BQ46" s="70"/>
      <c r="BR46" s="70"/>
      <c r="BS46" s="39"/>
      <c r="BT46" s="39"/>
      <c r="BU46" s="39"/>
      <c r="BV46" s="39"/>
      <c r="BW46" s="39"/>
      <c r="BX46" s="39"/>
      <c r="BY46" s="29">
        <f t="shared" si="6"/>
        <v>116427490.57000001</v>
      </c>
      <c r="BZ46" s="29"/>
      <c r="CA46" s="29"/>
      <c r="CB46" s="29"/>
      <c r="CC46" s="70"/>
      <c r="CD46" s="70"/>
      <c r="CE46" s="70"/>
      <c r="CF46" s="70"/>
      <c r="CG46" s="70"/>
      <c r="CH46" s="70">
        <v>2300</v>
      </c>
      <c r="CI46" s="70"/>
      <c r="CJ46" s="70"/>
      <c r="CK46" s="70"/>
      <c r="CL46" s="70"/>
      <c r="CM46" s="70"/>
      <c r="CN46" s="70"/>
      <c r="CO46" s="70"/>
      <c r="CP46" s="70"/>
      <c r="CQ46" s="70"/>
      <c r="CR46" s="70"/>
      <c r="CS46" s="70"/>
      <c r="CT46" s="39"/>
      <c r="CU46" s="39"/>
      <c r="CV46" s="39"/>
      <c r="CW46" s="29">
        <f t="shared" si="12"/>
        <v>2300</v>
      </c>
      <c r="CX46" s="70"/>
    </row>
    <row r="47" spans="1:102" ht="63" customHeight="1" x14ac:dyDescent="0.8">
      <c r="A47" s="12" t="s">
        <v>45</v>
      </c>
      <c r="B47" s="13" t="s">
        <v>79</v>
      </c>
      <c r="C47" s="28"/>
      <c r="D47" s="28"/>
      <c r="E47" s="28">
        <f>2398900+2450200</f>
        <v>4849100</v>
      </c>
      <c r="F47" s="99">
        <f>41940600-730800+121200-5464600-349100</f>
        <v>35517300</v>
      </c>
      <c r="G47" s="99">
        <f>65189300-5904900-1043016.82</f>
        <v>58241383.18</v>
      </c>
      <c r="H47" s="99">
        <f>1324300+48300-93600-58600-31900-1257.54+41700</f>
        <v>1228942.46</v>
      </c>
      <c r="I47" s="95">
        <f>2168609-400666</f>
        <v>1767943</v>
      </c>
      <c r="J47" s="69">
        <f>1064100+831939</f>
        <v>1896039</v>
      </c>
      <c r="K47" s="69"/>
      <c r="L47" s="69"/>
      <c r="M47" s="29">
        <f t="shared" si="1"/>
        <v>1400</v>
      </c>
      <c r="N47" s="69"/>
      <c r="O47" s="69"/>
      <c r="P47" s="69"/>
      <c r="Q47" s="69"/>
      <c r="R47" s="69">
        <f>1400</f>
        <v>1400</v>
      </c>
      <c r="S47" s="69">
        <f>386815+110199+57413+85296</f>
        <v>639723</v>
      </c>
      <c r="T47" s="69">
        <v>58330</v>
      </c>
      <c r="U47" s="69">
        <f>684757+44710+150000+190000</f>
        <v>1069467</v>
      </c>
      <c r="V47" s="69"/>
      <c r="W47" s="69"/>
      <c r="X47" s="69"/>
      <c r="Y47" s="69"/>
      <c r="Z47" s="29">
        <f>500000</f>
        <v>500000</v>
      </c>
      <c r="AA47" s="29"/>
      <c r="AB47" s="29">
        <f t="shared" si="2"/>
        <v>0</v>
      </c>
      <c r="AC47" s="29"/>
      <c r="AD47" s="29"/>
      <c r="AE47" s="29">
        <f t="shared" si="3"/>
        <v>70539</v>
      </c>
      <c r="AF47" s="69"/>
      <c r="AG47" s="69">
        <f>1339500-1339500</f>
        <v>0</v>
      </c>
      <c r="AH47" s="69">
        <f>156384-85845</f>
        <v>70539</v>
      </c>
      <c r="AI47" s="69"/>
      <c r="AJ47" s="69"/>
      <c r="AK47" s="69"/>
      <c r="AL47" s="69"/>
      <c r="AM47" s="29">
        <f t="shared" si="4"/>
        <v>0</v>
      </c>
      <c r="AN47" s="29"/>
      <c r="AO47" s="29"/>
      <c r="AP47" s="29">
        <f t="shared" si="5"/>
        <v>102083</v>
      </c>
      <c r="AQ47" s="69">
        <v>44964</v>
      </c>
      <c r="AR47" s="69">
        <v>16983</v>
      </c>
      <c r="AS47" s="69">
        <v>35984</v>
      </c>
      <c r="AT47" s="69">
        <v>4152</v>
      </c>
      <c r="AU47" s="69"/>
      <c r="AV47" s="69"/>
      <c r="AW47" s="69"/>
      <c r="AX47" s="69"/>
      <c r="AY47" s="69"/>
      <c r="AZ47" s="69"/>
      <c r="BA47" s="69"/>
      <c r="BB47" s="69"/>
      <c r="BC47" s="69"/>
      <c r="BD47" s="69"/>
      <c r="BE47" s="69"/>
      <c r="BF47" s="69">
        <f>500000</f>
        <v>500000</v>
      </c>
      <c r="BG47" s="70">
        <f>400000+70000</f>
        <v>470000</v>
      </c>
      <c r="BH47" s="70"/>
      <c r="BI47" s="70"/>
      <c r="BJ47" s="70"/>
      <c r="BK47" s="70"/>
      <c r="BL47" s="70"/>
      <c r="BM47" s="70"/>
      <c r="BN47" s="70"/>
      <c r="BO47" s="70"/>
      <c r="BP47" s="70">
        <v>91000</v>
      </c>
      <c r="BQ47" s="70"/>
      <c r="BR47" s="70"/>
      <c r="BS47" s="39"/>
      <c r="BT47" s="39"/>
      <c r="BU47" s="39"/>
      <c r="BV47" s="39"/>
      <c r="BW47" s="39"/>
      <c r="BX47" s="39"/>
      <c r="BY47" s="29">
        <f t="shared" si="6"/>
        <v>107003249.64</v>
      </c>
      <c r="BZ47" s="29"/>
      <c r="CA47" s="29"/>
      <c r="CB47" s="29"/>
      <c r="CC47" s="70"/>
      <c r="CD47" s="70"/>
      <c r="CE47" s="70"/>
      <c r="CF47" s="70"/>
      <c r="CG47" s="70"/>
      <c r="CH47" s="70">
        <f>1900</f>
        <v>1900</v>
      </c>
      <c r="CI47" s="70"/>
      <c r="CJ47" s="70"/>
      <c r="CK47" s="70"/>
      <c r="CL47" s="70"/>
      <c r="CM47" s="70"/>
      <c r="CN47" s="70"/>
      <c r="CO47" s="70"/>
      <c r="CP47" s="70"/>
      <c r="CQ47" s="70"/>
      <c r="CR47" s="70"/>
      <c r="CS47" s="70"/>
      <c r="CT47" s="39"/>
      <c r="CU47" s="39"/>
      <c r="CV47" s="39"/>
      <c r="CW47" s="29">
        <f t="shared" si="12"/>
        <v>1900</v>
      </c>
      <c r="CX47" s="70"/>
    </row>
    <row r="48" spans="1:102" ht="63" customHeight="1" x14ac:dyDescent="0.8">
      <c r="A48" s="12" t="s">
        <v>46</v>
      </c>
      <c r="B48" s="13" t="s">
        <v>80</v>
      </c>
      <c r="C48" s="28"/>
      <c r="D48" s="28"/>
      <c r="E48" s="28">
        <f>1829200+1868200</f>
        <v>3697400</v>
      </c>
      <c r="F48" s="99">
        <f>20312700+117000-136800-2006000-168800</f>
        <v>18118100</v>
      </c>
      <c r="G48" s="99">
        <f>26764900+731100-504700.02</f>
        <v>26991299.98</v>
      </c>
      <c r="H48" s="99">
        <f>1331600-49500+115800-43300-65200+79292.23+121000</f>
        <v>1489692.23</v>
      </c>
      <c r="I48" s="95">
        <f>2085662-385340</f>
        <v>1700322</v>
      </c>
      <c r="J48" s="69"/>
      <c r="K48" s="69"/>
      <c r="L48" s="69"/>
      <c r="M48" s="29">
        <f t="shared" si="1"/>
        <v>200</v>
      </c>
      <c r="N48" s="69"/>
      <c r="O48" s="69"/>
      <c r="P48" s="69">
        <v>200</v>
      </c>
      <c r="Q48" s="69"/>
      <c r="R48" s="69"/>
      <c r="S48" s="69"/>
      <c r="T48" s="69"/>
      <c r="U48" s="69">
        <f>237736-178299</f>
        <v>59437</v>
      </c>
      <c r="V48" s="69"/>
      <c r="W48" s="69"/>
      <c r="X48" s="69"/>
      <c r="Y48" s="69"/>
      <c r="Z48" s="29"/>
      <c r="AA48" s="29"/>
      <c r="AB48" s="29">
        <f t="shared" si="2"/>
        <v>0</v>
      </c>
      <c r="AC48" s="29"/>
      <c r="AD48" s="29"/>
      <c r="AE48" s="29">
        <f t="shared" si="3"/>
        <v>1410039</v>
      </c>
      <c r="AF48" s="69"/>
      <c r="AG48" s="69">
        <v>1339500</v>
      </c>
      <c r="AH48" s="69">
        <f>108266-37727</f>
        <v>70539</v>
      </c>
      <c r="AI48" s="69"/>
      <c r="AJ48" s="69"/>
      <c r="AK48" s="69"/>
      <c r="AL48" s="69"/>
      <c r="AM48" s="29">
        <f t="shared" si="4"/>
        <v>0</v>
      </c>
      <c r="AN48" s="29"/>
      <c r="AO48" s="29"/>
      <c r="AP48" s="29">
        <f t="shared" si="5"/>
        <v>310359</v>
      </c>
      <c r="AQ48" s="69">
        <v>134892</v>
      </c>
      <c r="AR48" s="69">
        <v>52947</v>
      </c>
      <c r="AS48" s="69">
        <v>107952</v>
      </c>
      <c r="AT48" s="69">
        <v>14568</v>
      </c>
      <c r="AU48" s="69"/>
      <c r="AV48" s="69"/>
      <c r="AW48" s="69"/>
      <c r="AX48" s="69"/>
      <c r="AY48" s="69"/>
      <c r="AZ48" s="69"/>
      <c r="BA48" s="69"/>
      <c r="BB48" s="69"/>
      <c r="BC48" s="69"/>
      <c r="BD48" s="69"/>
      <c r="BE48" s="69"/>
      <c r="BF48" s="69">
        <f>1400000+300000+550000</f>
        <v>2250000</v>
      </c>
      <c r="BG48" s="70"/>
      <c r="BH48" s="70"/>
      <c r="BI48" s="70"/>
      <c r="BJ48" s="70"/>
      <c r="BK48" s="70"/>
      <c r="BL48" s="70"/>
      <c r="BM48" s="70"/>
      <c r="BN48" s="70"/>
      <c r="BO48" s="70"/>
      <c r="BP48" s="70">
        <f>90000-40000+81000</f>
        <v>131000</v>
      </c>
      <c r="BQ48" s="70"/>
      <c r="BR48" s="70"/>
      <c r="BS48" s="39"/>
      <c r="BT48" s="39"/>
      <c r="BU48" s="39"/>
      <c r="BV48" s="39"/>
      <c r="BW48" s="39"/>
      <c r="BX48" s="39"/>
      <c r="BY48" s="29">
        <f t="shared" si="6"/>
        <v>56157849.210000001</v>
      </c>
      <c r="BZ48" s="29"/>
      <c r="CA48" s="29"/>
      <c r="CB48" s="29"/>
      <c r="CC48" s="70"/>
      <c r="CD48" s="70"/>
      <c r="CE48" s="70"/>
      <c r="CF48" s="70"/>
      <c r="CG48" s="70"/>
      <c r="CH48" s="70">
        <f>4684</f>
        <v>4684</v>
      </c>
      <c r="CI48" s="70"/>
      <c r="CJ48" s="70"/>
      <c r="CK48" s="70"/>
      <c r="CL48" s="70"/>
      <c r="CM48" s="70"/>
      <c r="CN48" s="70"/>
      <c r="CO48" s="70"/>
      <c r="CP48" s="70"/>
      <c r="CQ48" s="70"/>
      <c r="CR48" s="70"/>
      <c r="CS48" s="70"/>
      <c r="CT48" s="39"/>
      <c r="CU48" s="39"/>
      <c r="CV48" s="39"/>
      <c r="CW48" s="29">
        <f t="shared" si="12"/>
        <v>4684</v>
      </c>
      <c r="CX48" s="70"/>
    </row>
    <row r="49" spans="1:102" ht="63" customHeight="1" x14ac:dyDescent="0.8">
      <c r="A49" s="12"/>
      <c r="B49" s="13" t="s">
        <v>50</v>
      </c>
      <c r="C49" s="69">
        <f t="shared" ref="C49:L49" si="13">C48+C47+C46+C45+C44+C43+C42+C41+C40+C39+C38+C37+C36+C35+C34+C33+C32+C31+C30+C29+C28+C27</f>
        <v>0</v>
      </c>
      <c r="D49" s="69">
        <f t="shared" si="13"/>
        <v>0</v>
      </c>
      <c r="E49" s="69">
        <f>E48+E47+E46+E45+E44+E43+E42+E41+E40+E39+E38+E37+E36+E35+E34+E33+E32+E31+E30+E29+E28+E27</f>
        <v>126077500</v>
      </c>
      <c r="F49" s="100">
        <f t="shared" si="13"/>
        <v>1151484600</v>
      </c>
      <c r="G49" s="100">
        <f t="shared" si="13"/>
        <v>1637394190.2599998</v>
      </c>
      <c r="H49" s="100">
        <f t="shared" si="13"/>
        <v>45091828.780000001</v>
      </c>
      <c r="I49" s="95">
        <f t="shared" si="13"/>
        <v>57404586</v>
      </c>
      <c r="J49" s="69">
        <f t="shared" si="13"/>
        <v>17399289</v>
      </c>
      <c r="K49" s="69">
        <f t="shared" si="13"/>
        <v>1070000</v>
      </c>
      <c r="L49" s="69">
        <f t="shared" si="13"/>
        <v>0</v>
      </c>
      <c r="M49" s="29">
        <f t="shared" si="1"/>
        <v>1682800</v>
      </c>
      <c r="N49" s="69">
        <f>N48+N47+N46+N45+N44+N43+N42+N41+N40+N39+N38+N37+N36+N35+N34+N33+N32+N31+N30+N29+N28+N27</f>
        <v>64600</v>
      </c>
      <c r="O49" s="69">
        <f>O48+O47+O46+O45+O44+O43+O42+O41+O40+O39+O38+O37+O36+O35+O34+O33+O32+O31+O30+O29+O28+O27</f>
        <v>1604300</v>
      </c>
      <c r="P49" s="69">
        <f>P48+P47+P46+P45+P44+P43+P42+P41+P40+P39+P38+P37+P36+P35+P34+P33+P32+P31+P30+P29+P28+P27</f>
        <v>9500</v>
      </c>
      <c r="Q49" s="69">
        <f>Q48+Q47+Q46+Q45+Q44+Q43+Q42+Q41+Q40+Q39+Q38+Q37+Q36+Q35+Q34+Q33+Q32+Q31+Q30+Q29+Q28+Q27</f>
        <v>0</v>
      </c>
      <c r="R49" s="69">
        <f>R48+R47+R46+R45+R44+R43+R42+R41+R40+R39+R38+R37+R36+R35+R34+R33+R32+R31+R30+R29+R28+R27</f>
        <v>4400</v>
      </c>
      <c r="S49" s="69">
        <f>S27+S28+S29+S30+S31+S32+S33+S34+S35+S36+S37+S38+S39+S40+S41+S42+S43+S44+S45+S46+S47+S48</f>
        <v>14989788</v>
      </c>
      <c r="T49" s="69">
        <f>T27+T28+T29+T30+T31+T32+T33+T34+T35+T36+T37+T38+T39+T40+T41+T42+T43+T44+T45+T46+T47+T48</f>
        <v>1655774</v>
      </c>
      <c r="U49" s="69">
        <f>U48+U47+U46+U45+U44+U43+U42+U41+U40+U39+U38+U37+U36+U35+U34+U33+U32+U31+U30+U29+U28+U27</f>
        <v>15261134.780000001</v>
      </c>
      <c r="V49" s="91">
        <f>V27+V28+V29+V30+V31+V32+V33+V34+V35+V36+V37+V38+V39+V40+V41+V42+V43+V44+V45+V46+V47+V48</f>
        <v>9679335.7400000002</v>
      </c>
      <c r="W49" s="91">
        <f>W27+W28+W29+W30+W31+W32+W33+W34+W35+W36+W37+W38+W39+W40+W41+W42+W43+W44+W45+W46+W47+W48</f>
        <v>3001184</v>
      </c>
      <c r="X49" s="69">
        <f>X27+X28+X29+X30+X31+X32+X33+X34+X35+X36+X37+X38+X39+X40+X41+X42+X43+X44+X45+X46+X47+X48</f>
        <v>784883.96</v>
      </c>
      <c r="Y49" s="69">
        <f t="shared" ref="Y49:AD49" si="14">Y48+Y47+Y46+Y45+Y44+Y43+Y42+Y41+Y40+Y39+Y38+Y37+Y36+Y35+Y34+Y33+Y32+Y31+Y30+Y29+Y28+Y27</f>
        <v>526250</v>
      </c>
      <c r="Z49" s="69">
        <f t="shared" si="14"/>
        <v>5000000</v>
      </c>
      <c r="AA49" s="69">
        <f t="shared" si="14"/>
        <v>469117.69</v>
      </c>
      <c r="AB49" s="69">
        <f t="shared" si="14"/>
        <v>4428256</v>
      </c>
      <c r="AC49" s="69">
        <f t="shared" si="14"/>
        <v>248400</v>
      </c>
      <c r="AD49" s="69">
        <f t="shared" si="14"/>
        <v>4179856</v>
      </c>
      <c r="AE49" s="29">
        <f t="shared" si="3"/>
        <v>30064749</v>
      </c>
      <c r="AF49" s="69">
        <f t="shared" ref="AF49:AU49" si="15">AF48+AF47+AF46+AF45+AF44+AF43+AF42+AF41+AF40+AF39+AF38+AF37+AF36+AF35+AF34+AF33+AF32+AF31+AF30+AF29+AF28+AF27</f>
        <v>10635123</v>
      </c>
      <c r="AG49" s="69">
        <f t="shared" si="15"/>
        <v>16074300</v>
      </c>
      <c r="AH49" s="69">
        <f t="shared" si="15"/>
        <v>3233041</v>
      </c>
      <c r="AI49" s="69">
        <f t="shared" si="15"/>
        <v>0</v>
      </c>
      <c r="AJ49" s="69">
        <f t="shared" si="15"/>
        <v>122285</v>
      </c>
      <c r="AK49" s="69">
        <f t="shared" si="15"/>
        <v>0</v>
      </c>
      <c r="AL49" s="69">
        <f t="shared" si="15"/>
        <v>0</v>
      </c>
      <c r="AM49" s="29">
        <f t="shared" si="4"/>
        <v>2133885.29</v>
      </c>
      <c r="AN49" s="104">
        <f>SUM(AN27:AN48)</f>
        <v>485085.29</v>
      </c>
      <c r="AO49" s="29">
        <f>SUM(AO27:AO48)</f>
        <v>1648800</v>
      </c>
      <c r="AP49" s="29">
        <f t="shared" si="5"/>
        <v>15001379</v>
      </c>
      <c r="AQ49" s="69">
        <f>SUM(AQ27:AQ48)</f>
        <v>6092622</v>
      </c>
      <c r="AR49" s="69">
        <f>SUM(AR27:AR48)</f>
        <v>4142853</v>
      </c>
      <c r="AS49" s="69">
        <f>SUM(AS27:AS48)</f>
        <v>4210144</v>
      </c>
      <c r="AT49" s="69">
        <f>SUM(AT27:AT48)</f>
        <v>555760</v>
      </c>
      <c r="AU49" s="69">
        <f t="shared" si="15"/>
        <v>0</v>
      </c>
      <c r="AV49" s="69">
        <f>AV48+AV47+AV46+AV45+AV44+AV43+AV42+AV41+AV40+AV39+AV38+AV37+AV36+AV35+AV34+AV33+AV32+AV31+AV30+AV29+AV28+AV27</f>
        <v>0</v>
      </c>
      <c r="AW49" s="69"/>
      <c r="AX49" s="69"/>
      <c r="AY49" s="69">
        <f>AY48+AY47+AY46+AY45+AY44+AY43+AY42+AY41+AY40+AY39+AY38+AY37+AY36+AY35+AY34+AY33+AY32+AY31+AY30+AY29+AY28+AY27</f>
        <v>0</v>
      </c>
      <c r="AZ49" s="69"/>
      <c r="BA49" s="69">
        <f>BA48+BA47+BA46+BA45+BA44+BA43+BA42+BA41+BA40+BA39+BA38+BA37+BA36+BA35+BA34+BA33+BA32+BA31+BA30+BA29+BA28+BA27</f>
        <v>0</v>
      </c>
      <c r="BB49" s="69">
        <f>BB48+BB47+BB46+BB45+BB44+BB43+BB42+BB41+BB40+BB39+BB38+BB37+BB36+BB35+BB34+BB33+BB32+BB31+BB30+BB29+BB28+BB27</f>
        <v>0</v>
      </c>
      <c r="BC49" s="69"/>
      <c r="BD49" s="69"/>
      <c r="BE49" s="69">
        <f>BE48+BE47+BE46+BE45+BE44+BE43+BE42+BE41+BE40+BE39+BE38+BE37+BE36+BE35+BE34+BE33+BE32+BE31+BE30+BE29+BE28+BE27</f>
        <v>0</v>
      </c>
      <c r="BF49" s="69">
        <f>BF27+BF28+BF29+BF30+BF31+BF32+BF33+BF34+BF35+BF36+BF37+BF38+BF39+BF40+BF41+BF42+BF43+BF44+BF45+BF46+BF47+BF48</f>
        <v>11560000</v>
      </c>
      <c r="BG49" s="69">
        <f>BG48+BG47+BG46+BG45+BG44+BG43+BG42+BG41+BG40+BG39+BG38+BG37+BG36+BG35+BG34+BG33+BG32+BG31+BG30+BG29+BG28+BG27</f>
        <v>12464750</v>
      </c>
      <c r="BH49" s="69">
        <f t="shared" ref="BH49:BU49" si="16">BH48+BH47+BH46+BH45+BH44+BH43+BH42+BH41+BH40+BH39+BH38+BH37+BH36+BH35+BH34+BH33+BH32+BH31+BH30+BH29+BH28+BH27</f>
        <v>27500</v>
      </c>
      <c r="BI49" s="69">
        <f t="shared" si="16"/>
        <v>0</v>
      </c>
      <c r="BJ49" s="69">
        <f t="shared" si="16"/>
        <v>1207183</v>
      </c>
      <c r="BK49" s="69">
        <f t="shared" si="16"/>
        <v>0</v>
      </c>
      <c r="BL49" s="69">
        <f t="shared" si="16"/>
        <v>534655.5</v>
      </c>
      <c r="BM49" s="69">
        <f t="shared" si="16"/>
        <v>26000</v>
      </c>
      <c r="BN49" s="69">
        <f t="shared" si="16"/>
        <v>0</v>
      </c>
      <c r="BO49" s="69">
        <f t="shared" si="16"/>
        <v>810000</v>
      </c>
      <c r="BP49" s="69">
        <f t="shared" si="16"/>
        <v>2468000</v>
      </c>
      <c r="BQ49" s="69">
        <f t="shared" si="16"/>
        <v>0</v>
      </c>
      <c r="BR49" s="69">
        <f t="shared" si="16"/>
        <v>6845000</v>
      </c>
      <c r="BS49" s="69">
        <f>BS48+BS47+BS46+BS45+BS44+BS43+BS42+BS41+BS40+BS39+BS38+BS37+BS36+BS35+BS34+BS33+BS32+BS31+BS30+BS29+BS28+BS27</f>
        <v>0</v>
      </c>
      <c r="BT49" s="69">
        <f t="shared" si="16"/>
        <v>8600000</v>
      </c>
      <c r="BU49" s="69">
        <f t="shared" si="16"/>
        <v>10000000</v>
      </c>
      <c r="BV49" s="69">
        <f>BV48+BV47+BV46+BV45+BV44+BV43+BV42+BV41+BV40+BV39+BV38+BV37+BV36+BV35+BV34+BV33+BV32+BV31+BV30+BV29+BV28+BV27</f>
        <v>0</v>
      </c>
      <c r="BW49" s="69">
        <f>BW48+BW47+BW46+BW45+BW44+BW43+BW42+BW41+BW40+BW39+BW38+BW37+BW36+BW35+BW34+BW33+BW32+BW31+BW30+BW29+BW28+BW27</f>
        <v>0</v>
      </c>
      <c r="BX49" s="29"/>
      <c r="BY49" s="29">
        <f t="shared" si="6"/>
        <v>3195143620</v>
      </c>
      <c r="BZ49" s="69">
        <f t="shared" ref="BZ49:CV49" si="17">BZ48+BZ47+BZ46+BZ45+BZ44+BZ43+BZ42+BZ41+BZ40+BZ39+BZ38+BZ37+BZ36+BZ35+BZ34+BZ33+BZ32+BZ31+BZ30+BZ29+BZ28+BZ27</f>
        <v>0</v>
      </c>
      <c r="CA49" s="69">
        <f t="shared" si="17"/>
        <v>0</v>
      </c>
      <c r="CB49" s="69">
        <f t="shared" si="17"/>
        <v>147200</v>
      </c>
      <c r="CC49" s="69">
        <f t="shared" si="17"/>
        <v>0</v>
      </c>
      <c r="CD49" s="69">
        <f t="shared" si="17"/>
        <v>3554000</v>
      </c>
      <c r="CE49" s="69">
        <f t="shared" si="17"/>
        <v>0</v>
      </c>
      <c r="CF49" s="69">
        <f t="shared" si="17"/>
        <v>11138958</v>
      </c>
      <c r="CG49" s="69">
        <f t="shared" si="17"/>
        <v>0</v>
      </c>
      <c r="CH49" s="69">
        <f>CH48+CH47+CH46+CH45+CH44+CH43+CH42+CH41+CH40+CH39+CH38+CH37+CH36+CH35+CH34+CH33+CH32+CH31+CH30+CH29+CH28+CH27</f>
        <v>332846</v>
      </c>
      <c r="CI49" s="69">
        <f t="shared" si="17"/>
        <v>0</v>
      </c>
      <c r="CJ49" s="69">
        <f t="shared" si="17"/>
        <v>0</v>
      </c>
      <c r="CK49" s="69">
        <f t="shared" si="17"/>
        <v>0</v>
      </c>
      <c r="CL49" s="69">
        <f t="shared" si="17"/>
        <v>0</v>
      </c>
      <c r="CM49" s="69">
        <f t="shared" si="17"/>
        <v>10000</v>
      </c>
      <c r="CN49" s="69">
        <f t="shared" si="17"/>
        <v>0</v>
      </c>
      <c r="CO49" s="69">
        <f t="shared" si="17"/>
        <v>0</v>
      </c>
      <c r="CP49" s="69">
        <f t="shared" si="17"/>
        <v>0</v>
      </c>
      <c r="CQ49" s="69">
        <f t="shared" si="17"/>
        <v>0</v>
      </c>
      <c r="CR49" s="69">
        <f t="shared" si="17"/>
        <v>0</v>
      </c>
      <c r="CS49" s="69">
        <f t="shared" si="17"/>
        <v>0</v>
      </c>
      <c r="CT49" s="69">
        <f t="shared" si="17"/>
        <v>0</v>
      </c>
      <c r="CU49" s="69">
        <f t="shared" si="17"/>
        <v>0</v>
      </c>
      <c r="CV49" s="69">
        <f t="shared" si="17"/>
        <v>106351</v>
      </c>
      <c r="CW49" s="29">
        <f t="shared" si="12"/>
        <v>15289355</v>
      </c>
      <c r="CX49" s="69">
        <f>CX48+CX47+CX46+CX45+CX44+CX43+CX42+CX41+CX40+CX39+CX38+CX37+CX36+CX35+CX34+CX33+CX32+CX31+CX30+CX29+CX28+CX27</f>
        <v>0</v>
      </c>
    </row>
    <row r="50" spans="1:102" ht="59.25" customHeight="1" x14ac:dyDescent="0.8">
      <c r="A50" s="12"/>
      <c r="B50" s="13" t="s">
        <v>99</v>
      </c>
      <c r="C50" s="69"/>
      <c r="D50" s="69"/>
      <c r="E50" s="69"/>
      <c r="F50" s="69"/>
      <c r="G50" s="69"/>
      <c r="H50" s="69"/>
      <c r="I50" s="69"/>
      <c r="J50" s="69"/>
      <c r="K50" s="69"/>
      <c r="L50" s="69"/>
      <c r="M50" s="29">
        <f t="shared" si="1"/>
        <v>0</v>
      </c>
      <c r="N50" s="69"/>
      <c r="O50" s="69"/>
      <c r="P50" s="69"/>
      <c r="Q50" s="69"/>
      <c r="R50" s="69"/>
      <c r="S50" s="69"/>
      <c r="T50" s="69"/>
      <c r="U50" s="69"/>
      <c r="V50" s="69"/>
      <c r="W50" s="69"/>
      <c r="X50" s="69"/>
      <c r="Y50" s="69"/>
      <c r="Z50" s="29"/>
      <c r="AA50" s="29"/>
      <c r="AB50" s="29">
        <f t="shared" si="2"/>
        <v>0</v>
      </c>
      <c r="AC50" s="29"/>
      <c r="AD50" s="29"/>
      <c r="AE50" s="29">
        <f t="shared" si="3"/>
        <v>0</v>
      </c>
      <c r="AF50" s="69"/>
      <c r="AG50" s="69"/>
      <c r="AH50" s="69"/>
      <c r="AI50" s="69"/>
      <c r="AJ50" s="69"/>
      <c r="AK50" s="69"/>
      <c r="AL50" s="69"/>
      <c r="AM50" s="29">
        <f t="shared" si="4"/>
        <v>0</v>
      </c>
      <c r="AN50" s="29"/>
      <c r="AO50" s="29"/>
      <c r="AP50" s="29">
        <f t="shared" si="5"/>
        <v>0</v>
      </c>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29"/>
      <c r="BT50" s="29"/>
      <c r="BU50" s="29"/>
      <c r="BV50" s="29"/>
      <c r="BW50" s="29"/>
      <c r="BX50" s="29"/>
      <c r="BY50" s="29">
        <f t="shared" si="6"/>
        <v>0</v>
      </c>
      <c r="BZ50" s="29"/>
      <c r="CA50" s="29"/>
      <c r="CB50" s="29"/>
      <c r="CC50" s="69"/>
      <c r="CD50" s="69"/>
      <c r="CE50" s="69"/>
      <c r="CF50" s="69"/>
      <c r="CG50" s="69"/>
      <c r="CH50" s="69"/>
      <c r="CI50" s="69"/>
      <c r="CJ50" s="69"/>
      <c r="CK50" s="69"/>
      <c r="CL50" s="69"/>
      <c r="CM50" s="69"/>
      <c r="CN50" s="69"/>
      <c r="CO50" s="69"/>
      <c r="CP50" s="69"/>
      <c r="CQ50" s="69"/>
      <c r="CR50" s="69"/>
      <c r="CS50" s="69"/>
      <c r="CT50" s="29"/>
      <c r="CU50" s="29"/>
      <c r="CV50" s="29"/>
      <c r="CW50" s="29">
        <f t="shared" si="12"/>
        <v>0</v>
      </c>
      <c r="CX50" s="69"/>
    </row>
    <row r="51" spans="1:102" ht="59.25" customHeight="1" x14ac:dyDescent="0.8">
      <c r="A51" s="12" t="s">
        <v>100</v>
      </c>
      <c r="B51" s="13" t="s">
        <v>101</v>
      </c>
      <c r="C51" s="69"/>
      <c r="D51" s="69"/>
      <c r="E51" s="69">
        <f>3793400+3874300</f>
        <v>7667700</v>
      </c>
      <c r="F51" s="69"/>
      <c r="G51" s="69"/>
      <c r="H51" s="69"/>
      <c r="I51" s="69"/>
      <c r="J51" s="69">
        <f>250000+1627588</f>
        <v>1877588</v>
      </c>
      <c r="K51" s="69"/>
      <c r="L51" s="69"/>
      <c r="M51" s="29">
        <f t="shared" si="1"/>
        <v>0</v>
      </c>
      <c r="N51" s="69"/>
      <c r="O51" s="69"/>
      <c r="P51" s="69"/>
      <c r="Q51" s="69"/>
      <c r="R51" s="69"/>
      <c r="S51" s="69">
        <f>916655+76388+152776</f>
        <v>1145819</v>
      </c>
      <c r="T51" s="69">
        <v>138226</v>
      </c>
      <c r="U51" s="69">
        <f>703875+60000</f>
        <v>763875</v>
      </c>
      <c r="V51" s="69"/>
      <c r="W51" s="69"/>
      <c r="X51" s="69"/>
      <c r="Y51" s="69"/>
      <c r="Z51" s="29"/>
      <c r="AA51" s="29"/>
      <c r="AB51" s="29">
        <f t="shared" si="2"/>
        <v>451876</v>
      </c>
      <c r="AC51" s="29"/>
      <c r="AD51" s="110">
        <v>451876</v>
      </c>
      <c r="AE51" s="29">
        <f t="shared" si="3"/>
        <v>1596464</v>
      </c>
      <c r="AF51" s="69"/>
      <c r="AG51" s="69">
        <v>1339500</v>
      </c>
      <c r="AH51" s="69">
        <f>262931-5967</f>
        <v>256964</v>
      </c>
      <c r="AI51" s="69"/>
      <c r="AJ51" s="69"/>
      <c r="AK51" s="69"/>
      <c r="AL51" s="69"/>
      <c r="AM51" s="29">
        <f t="shared" si="4"/>
        <v>286766</v>
      </c>
      <c r="AN51" s="104">
        <f>183666-103000</f>
        <v>80666</v>
      </c>
      <c r="AO51" s="29">
        <v>206100</v>
      </c>
      <c r="AP51" s="29">
        <f t="shared" si="5"/>
        <v>888271</v>
      </c>
      <c r="AQ51" s="69">
        <v>382194</v>
      </c>
      <c r="AR51" s="69">
        <v>273726</v>
      </c>
      <c r="AS51" s="69">
        <v>197911</v>
      </c>
      <c r="AT51" s="69">
        <v>34440</v>
      </c>
      <c r="AU51" s="69"/>
      <c r="AV51" s="69"/>
      <c r="AW51" s="69"/>
      <c r="AX51" s="69"/>
      <c r="AY51" s="69"/>
      <c r="AZ51" s="69"/>
      <c r="BA51" s="69"/>
      <c r="BB51" s="69"/>
      <c r="BC51" s="69"/>
      <c r="BD51" s="69"/>
      <c r="BE51" s="69"/>
      <c r="BF51" s="69"/>
      <c r="BG51" s="69">
        <f>385000+100000-50000</f>
        <v>435000</v>
      </c>
      <c r="BH51" s="69"/>
      <c r="BI51" s="69"/>
      <c r="BJ51" s="69"/>
      <c r="BK51" s="69"/>
      <c r="BL51" s="69"/>
      <c r="BM51" s="69"/>
      <c r="BN51" s="69"/>
      <c r="BO51" s="69"/>
      <c r="BP51" s="69"/>
      <c r="BQ51" s="69"/>
      <c r="BR51" s="69"/>
      <c r="BS51" s="29"/>
      <c r="BT51" s="29"/>
      <c r="BU51" s="29"/>
      <c r="BV51" s="29"/>
      <c r="BW51" s="29"/>
      <c r="BX51" s="29"/>
      <c r="BY51" s="29">
        <f t="shared" si="6"/>
        <v>15251585</v>
      </c>
      <c r="BZ51" s="29"/>
      <c r="CA51" s="29"/>
      <c r="CB51" s="29"/>
      <c r="CC51" s="69"/>
      <c r="CD51" s="69"/>
      <c r="CE51" s="69"/>
      <c r="CF51" s="69"/>
      <c r="CG51" s="69"/>
      <c r="CH51" s="69">
        <v>23900</v>
      </c>
      <c r="CI51" s="69"/>
      <c r="CJ51" s="69"/>
      <c r="CK51" s="69"/>
      <c r="CL51" s="69"/>
      <c r="CM51" s="69"/>
      <c r="CN51" s="69"/>
      <c r="CO51" s="69"/>
      <c r="CP51" s="69"/>
      <c r="CQ51" s="69"/>
      <c r="CR51" s="69"/>
      <c r="CS51" s="69"/>
      <c r="CT51" s="29"/>
      <c r="CU51" s="29"/>
      <c r="CV51" s="29"/>
      <c r="CW51" s="29">
        <f t="shared" si="12"/>
        <v>23900</v>
      </c>
      <c r="CX51" s="69"/>
    </row>
    <row r="52" spans="1:102" ht="59.25" customHeight="1" x14ac:dyDescent="0.8">
      <c r="A52" s="12" t="s">
        <v>102</v>
      </c>
      <c r="B52" s="13" t="s">
        <v>103</v>
      </c>
      <c r="C52" s="69"/>
      <c r="D52" s="69"/>
      <c r="E52" s="69">
        <v>996200</v>
      </c>
      <c r="F52" s="69"/>
      <c r="G52" s="69"/>
      <c r="H52" s="69"/>
      <c r="I52" s="69"/>
      <c r="J52" s="69">
        <f>51270</f>
        <v>51270</v>
      </c>
      <c r="K52" s="69"/>
      <c r="L52" s="69"/>
      <c r="M52" s="29">
        <f t="shared" si="1"/>
        <v>0</v>
      </c>
      <c r="N52" s="69"/>
      <c r="O52" s="69"/>
      <c r="P52" s="69"/>
      <c r="Q52" s="69"/>
      <c r="R52" s="69"/>
      <c r="S52" s="69"/>
      <c r="T52" s="69"/>
      <c r="U52" s="95">
        <f>554307-78000+30000+500</f>
        <v>506807</v>
      </c>
      <c r="V52" s="69"/>
      <c r="W52" s="69"/>
      <c r="X52" s="69"/>
      <c r="Y52" s="69"/>
      <c r="Z52" s="29"/>
      <c r="AA52" s="29"/>
      <c r="AB52" s="29">
        <f t="shared" si="2"/>
        <v>225938</v>
      </c>
      <c r="AC52" s="29"/>
      <c r="AD52" s="110">
        <v>225938</v>
      </c>
      <c r="AE52" s="29">
        <f t="shared" si="3"/>
        <v>60462</v>
      </c>
      <c r="AF52" s="69"/>
      <c r="AG52" s="69"/>
      <c r="AH52" s="69">
        <f>61866-1404</f>
        <v>60462</v>
      </c>
      <c r="AI52" s="69"/>
      <c r="AJ52" s="69"/>
      <c r="AK52" s="69"/>
      <c r="AL52" s="69"/>
      <c r="AM52" s="29">
        <f t="shared" si="4"/>
        <v>58933</v>
      </c>
      <c r="AN52" s="104">
        <f>91833-32900</f>
        <v>58933</v>
      </c>
      <c r="AO52" s="29"/>
      <c r="AP52" s="29">
        <f t="shared" si="5"/>
        <v>240265</v>
      </c>
      <c r="AQ52" s="69">
        <v>89928</v>
      </c>
      <c r="AR52" s="69">
        <v>70929</v>
      </c>
      <c r="AS52" s="69">
        <v>71968</v>
      </c>
      <c r="AT52" s="69">
        <v>7440</v>
      </c>
      <c r="AU52" s="69"/>
      <c r="AV52" s="69"/>
      <c r="AW52" s="69"/>
      <c r="AX52" s="69"/>
      <c r="AY52" s="69"/>
      <c r="AZ52" s="69"/>
      <c r="BA52" s="69"/>
      <c r="BB52" s="69"/>
      <c r="BC52" s="69"/>
      <c r="BD52" s="69"/>
      <c r="BE52" s="69"/>
      <c r="BF52" s="69"/>
      <c r="BG52" s="69">
        <v>65000</v>
      </c>
      <c r="BH52" s="69"/>
      <c r="BI52" s="69"/>
      <c r="BJ52" s="69"/>
      <c r="BK52" s="69"/>
      <c r="BL52" s="69"/>
      <c r="BM52" s="69"/>
      <c r="BN52" s="69"/>
      <c r="BO52" s="69"/>
      <c r="BP52" s="69"/>
      <c r="BQ52" s="69"/>
      <c r="BR52" s="69"/>
      <c r="BS52" s="29"/>
      <c r="BT52" s="29"/>
      <c r="BU52" s="29"/>
      <c r="BV52" s="29"/>
      <c r="BW52" s="29"/>
      <c r="BX52" s="29"/>
      <c r="BY52" s="29">
        <f t="shared" si="6"/>
        <v>2204875</v>
      </c>
      <c r="BZ52" s="29"/>
      <c r="CA52" s="29"/>
      <c r="CB52" s="29"/>
      <c r="CC52" s="69"/>
      <c r="CD52" s="91">
        <f>600000+1000000-1600000</f>
        <v>0</v>
      </c>
      <c r="CE52" s="69"/>
      <c r="CF52" s="69"/>
      <c r="CG52" s="69"/>
      <c r="CH52" s="69">
        <f>7000</f>
        <v>7000</v>
      </c>
      <c r="CI52" s="69"/>
      <c r="CJ52" s="69"/>
      <c r="CK52" s="69"/>
      <c r="CL52" s="69"/>
      <c r="CM52" s="69"/>
      <c r="CN52" s="69"/>
      <c r="CO52" s="69"/>
      <c r="CP52" s="69"/>
      <c r="CQ52" s="69"/>
      <c r="CR52" s="69"/>
      <c r="CS52" s="69"/>
      <c r="CT52" s="29"/>
      <c r="CU52" s="29"/>
      <c r="CV52" s="29"/>
      <c r="CW52" s="29">
        <f t="shared" si="12"/>
        <v>7000</v>
      </c>
      <c r="CX52" s="69"/>
    </row>
    <row r="53" spans="1:102" ht="55.5" customHeight="1" x14ac:dyDescent="0.8">
      <c r="A53" s="12" t="s">
        <v>104</v>
      </c>
      <c r="B53" s="13" t="s">
        <v>105</v>
      </c>
      <c r="C53" s="69"/>
      <c r="D53" s="69"/>
      <c r="E53" s="69">
        <v>1083400</v>
      </c>
      <c r="F53" s="69"/>
      <c r="G53" s="69"/>
      <c r="H53" s="69"/>
      <c r="I53" s="69"/>
      <c r="J53" s="69"/>
      <c r="K53" s="69"/>
      <c r="L53" s="69"/>
      <c r="M53" s="29">
        <f t="shared" si="1"/>
        <v>0</v>
      </c>
      <c r="N53" s="69"/>
      <c r="O53" s="69"/>
      <c r="P53" s="69"/>
      <c r="Q53" s="69"/>
      <c r="R53" s="69"/>
      <c r="S53" s="69"/>
      <c r="T53" s="69"/>
      <c r="U53" s="69">
        <f>78000+20000</f>
        <v>98000</v>
      </c>
      <c r="V53" s="69"/>
      <c r="W53" s="69"/>
      <c r="X53" s="69"/>
      <c r="Y53" s="69"/>
      <c r="Z53" s="29"/>
      <c r="AA53" s="29"/>
      <c r="AB53" s="29">
        <f t="shared" si="2"/>
        <v>0</v>
      </c>
      <c r="AC53" s="29"/>
      <c r="AD53" s="29"/>
      <c r="AE53" s="29">
        <f t="shared" si="3"/>
        <v>60462</v>
      </c>
      <c r="AF53" s="69"/>
      <c r="AG53" s="69"/>
      <c r="AH53" s="69">
        <f>61866-1404</f>
        <v>60462</v>
      </c>
      <c r="AI53" s="69"/>
      <c r="AJ53" s="69"/>
      <c r="AK53" s="69"/>
      <c r="AL53" s="69"/>
      <c r="AM53" s="29">
        <f t="shared" si="4"/>
        <v>68844</v>
      </c>
      <c r="AN53" s="104">
        <f>122444-53600</f>
        <v>68844</v>
      </c>
      <c r="AO53" s="29"/>
      <c r="AP53" s="29">
        <f t="shared" si="5"/>
        <v>227648</v>
      </c>
      <c r="AQ53" s="69">
        <v>89928</v>
      </c>
      <c r="AR53" s="69">
        <v>75924</v>
      </c>
      <c r="AS53" s="69">
        <v>53976</v>
      </c>
      <c r="AT53" s="69">
        <v>7820</v>
      </c>
      <c r="AU53" s="69"/>
      <c r="AV53" s="69"/>
      <c r="AW53" s="69"/>
      <c r="AX53" s="69"/>
      <c r="AY53" s="69"/>
      <c r="AZ53" s="69"/>
      <c r="BA53" s="69"/>
      <c r="BB53" s="69"/>
      <c r="BC53" s="69"/>
      <c r="BD53" s="69"/>
      <c r="BE53" s="69"/>
      <c r="BF53" s="69"/>
      <c r="BG53" s="69">
        <v>65000</v>
      </c>
      <c r="BH53" s="69"/>
      <c r="BI53" s="69"/>
      <c r="BJ53" s="69"/>
      <c r="BK53" s="69"/>
      <c r="BL53" s="69">
        <v>550000</v>
      </c>
      <c r="BM53" s="69"/>
      <c r="BN53" s="69"/>
      <c r="BO53" s="69"/>
      <c r="BP53" s="69"/>
      <c r="BQ53" s="69"/>
      <c r="BR53" s="69">
        <v>700000</v>
      </c>
      <c r="BS53" s="29"/>
      <c r="BT53" s="29"/>
      <c r="BU53" s="29"/>
      <c r="BV53" s="29"/>
      <c r="BW53" s="29"/>
      <c r="BX53" s="29"/>
      <c r="BY53" s="29">
        <f t="shared" si="6"/>
        <v>2853354</v>
      </c>
      <c r="BZ53" s="29"/>
      <c r="CA53" s="29"/>
      <c r="CB53" s="29"/>
      <c r="CC53" s="69"/>
      <c r="CD53" s="69">
        <f>2577000+5048079+3135416</f>
        <v>10760495</v>
      </c>
      <c r="CE53" s="69"/>
      <c r="CF53" s="69"/>
      <c r="CG53" s="69"/>
      <c r="CH53" s="69">
        <v>7600</v>
      </c>
      <c r="CI53" s="69"/>
      <c r="CJ53" s="69"/>
      <c r="CK53" s="69"/>
      <c r="CL53" s="69"/>
      <c r="CM53" s="69"/>
      <c r="CN53" s="69"/>
      <c r="CO53" s="69"/>
      <c r="CP53" s="69"/>
      <c r="CQ53" s="69"/>
      <c r="CR53" s="69"/>
      <c r="CS53" s="69"/>
      <c r="CT53" s="29"/>
      <c r="CU53" s="29"/>
      <c r="CV53" s="29"/>
      <c r="CW53" s="29">
        <f t="shared" si="12"/>
        <v>10768095</v>
      </c>
      <c r="CX53" s="69"/>
    </row>
    <row r="54" spans="1:102" ht="59.25" customHeight="1" x14ac:dyDescent="0.8">
      <c r="A54" s="12" t="s">
        <v>106</v>
      </c>
      <c r="B54" s="13" t="s">
        <v>107</v>
      </c>
      <c r="C54" s="69"/>
      <c r="D54" s="113">
        <f>450000</f>
        <v>450000</v>
      </c>
      <c r="E54" s="69">
        <f>658200+672200</f>
        <v>1330400</v>
      </c>
      <c r="F54" s="69"/>
      <c r="G54" s="69"/>
      <c r="H54" s="69"/>
      <c r="I54" s="69"/>
      <c r="J54" s="69"/>
      <c r="K54" s="69"/>
      <c r="L54" s="69"/>
      <c r="M54" s="29">
        <f t="shared" si="1"/>
        <v>0</v>
      </c>
      <c r="N54" s="69"/>
      <c r="O54" s="69"/>
      <c r="P54" s="69"/>
      <c r="Q54" s="69"/>
      <c r="R54" s="69"/>
      <c r="S54" s="69"/>
      <c r="T54" s="69"/>
      <c r="U54" s="69"/>
      <c r="V54" s="69"/>
      <c r="W54" s="69"/>
      <c r="X54" s="69"/>
      <c r="Y54" s="69"/>
      <c r="Z54" s="29"/>
      <c r="AA54" s="29"/>
      <c r="AB54" s="29">
        <f t="shared" si="2"/>
        <v>0</v>
      </c>
      <c r="AC54" s="29"/>
      <c r="AD54" s="29"/>
      <c r="AE54" s="29">
        <f t="shared" si="3"/>
        <v>1399962</v>
      </c>
      <c r="AF54" s="69"/>
      <c r="AG54" s="69">
        <f>1339500</f>
        <v>1339500</v>
      </c>
      <c r="AH54" s="69">
        <f>61866-1404</f>
        <v>60462</v>
      </c>
      <c r="AI54" s="69"/>
      <c r="AJ54" s="69"/>
      <c r="AK54" s="69"/>
      <c r="AL54" s="69"/>
      <c r="AM54" s="29">
        <f t="shared" si="4"/>
        <v>0</v>
      </c>
      <c r="AN54" s="29"/>
      <c r="AO54" s="29"/>
      <c r="AP54" s="29">
        <f t="shared" si="5"/>
        <v>158534</v>
      </c>
      <c r="AQ54" s="69">
        <v>89928</v>
      </c>
      <c r="AR54" s="69">
        <v>45954</v>
      </c>
      <c r="AS54" s="69">
        <v>17992</v>
      </c>
      <c r="AT54" s="69">
        <v>4660</v>
      </c>
      <c r="AU54" s="69"/>
      <c r="AV54" s="69"/>
      <c r="AW54" s="69"/>
      <c r="AX54" s="69"/>
      <c r="AY54" s="69"/>
      <c r="AZ54" s="69"/>
      <c r="BA54" s="69"/>
      <c r="BB54" s="69"/>
      <c r="BC54" s="69"/>
      <c r="BD54" s="69"/>
      <c r="BE54" s="69"/>
      <c r="BF54" s="69">
        <f>500000</f>
        <v>500000</v>
      </c>
      <c r="BG54" s="69">
        <v>30000</v>
      </c>
      <c r="BH54" s="69"/>
      <c r="BI54" s="69">
        <f>800000</f>
        <v>800000</v>
      </c>
      <c r="BJ54" s="69"/>
      <c r="BK54" s="69"/>
      <c r="BL54" s="69"/>
      <c r="BM54" s="69"/>
      <c r="BN54" s="69"/>
      <c r="BO54" s="69"/>
      <c r="BP54" s="69"/>
      <c r="BQ54" s="69"/>
      <c r="BR54" s="69"/>
      <c r="BS54" s="29"/>
      <c r="BT54" s="29"/>
      <c r="BU54" s="29"/>
      <c r="BV54" s="29"/>
      <c r="BW54" s="29"/>
      <c r="BX54" s="29"/>
      <c r="BY54" s="29">
        <f t="shared" si="6"/>
        <v>4668896</v>
      </c>
      <c r="BZ54" s="29"/>
      <c r="CA54" s="29"/>
      <c r="CB54" s="29"/>
      <c r="CC54" s="69"/>
      <c r="CD54" s="69"/>
      <c r="CE54" s="69"/>
      <c r="CF54" s="69"/>
      <c r="CG54" s="69"/>
      <c r="CH54" s="69">
        <v>4300</v>
      </c>
      <c r="CI54" s="69"/>
      <c r="CJ54" s="69"/>
      <c r="CK54" s="69"/>
      <c r="CL54" s="69"/>
      <c r="CM54" s="69"/>
      <c r="CN54" s="69"/>
      <c r="CO54" s="69"/>
      <c r="CP54" s="69"/>
      <c r="CQ54" s="69"/>
      <c r="CR54" s="69"/>
      <c r="CS54" s="69"/>
      <c r="CT54" s="29"/>
      <c r="CU54" s="29"/>
      <c r="CV54" s="29"/>
      <c r="CW54" s="29">
        <f t="shared" si="12"/>
        <v>4300</v>
      </c>
      <c r="CX54" s="69"/>
    </row>
    <row r="55" spans="1:102" ht="59.25" customHeight="1" x14ac:dyDescent="0.8">
      <c r="A55" s="12" t="s">
        <v>242</v>
      </c>
      <c r="B55" s="13" t="s">
        <v>243</v>
      </c>
      <c r="C55" s="69"/>
      <c r="D55" s="69"/>
      <c r="E55" s="69">
        <f>507100+517900</f>
        <v>1025000</v>
      </c>
      <c r="F55" s="69"/>
      <c r="G55" s="69"/>
      <c r="H55" s="69"/>
      <c r="I55" s="69"/>
      <c r="J55" s="69"/>
      <c r="K55" s="69">
        <v>2800000</v>
      </c>
      <c r="L55" s="69"/>
      <c r="M55" s="29">
        <f t="shared" si="1"/>
        <v>0</v>
      </c>
      <c r="N55" s="69"/>
      <c r="O55" s="69"/>
      <c r="P55" s="69"/>
      <c r="Q55" s="69"/>
      <c r="R55" s="69"/>
      <c r="S55" s="69"/>
      <c r="T55" s="69"/>
      <c r="U55" s="69"/>
      <c r="V55" s="69"/>
      <c r="W55" s="69"/>
      <c r="X55" s="69"/>
      <c r="Y55" s="69"/>
      <c r="Z55" s="29"/>
      <c r="AA55" s="29"/>
      <c r="AB55" s="29">
        <f t="shared" si="2"/>
        <v>112200</v>
      </c>
      <c r="AC55" s="110">
        <f>112200</f>
        <v>112200</v>
      </c>
      <c r="AD55" s="29"/>
      <c r="AE55" s="29">
        <f t="shared" si="3"/>
        <v>45347</v>
      </c>
      <c r="AF55" s="69"/>
      <c r="AG55" s="69"/>
      <c r="AH55" s="69">
        <f>46400-1053</f>
        <v>45347</v>
      </c>
      <c r="AI55" s="69"/>
      <c r="AJ55" s="69"/>
      <c r="AK55" s="69"/>
      <c r="AL55" s="69"/>
      <c r="AM55" s="29">
        <f t="shared" si="4"/>
        <v>206100</v>
      </c>
      <c r="AN55" s="29"/>
      <c r="AO55" s="29">
        <v>206100</v>
      </c>
      <c r="AP55" s="29">
        <f t="shared" si="5"/>
        <v>177086</v>
      </c>
      <c r="AQ55" s="69">
        <v>67446</v>
      </c>
      <c r="AR55" s="69">
        <v>27972</v>
      </c>
      <c r="AS55" s="69">
        <v>71968</v>
      </c>
      <c r="AT55" s="69">
        <v>9700</v>
      </c>
      <c r="AU55" s="69"/>
      <c r="AV55" s="69"/>
      <c r="AW55" s="69"/>
      <c r="AX55" s="69"/>
      <c r="AY55" s="69"/>
      <c r="AZ55" s="69"/>
      <c r="BA55" s="69"/>
      <c r="BB55" s="69"/>
      <c r="BC55" s="69"/>
      <c r="BD55" s="69"/>
      <c r="BE55" s="69"/>
      <c r="BF55" s="69">
        <f>400000+280000</f>
        <v>680000</v>
      </c>
      <c r="BG55" s="69">
        <f>80000+5300</f>
        <v>85300</v>
      </c>
      <c r="BH55" s="69"/>
      <c r="BI55" s="69"/>
      <c r="BJ55" s="69"/>
      <c r="BK55" s="69"/>
      <c r="BL55" s="69"/>
      <c r="BM55" s="69"/>
      <c r="BN55" s="69"/>
      <c r="BO55" s="69"/>
      <c r="BP55" s="69"/>
      <c r="BQ55" s="69"/>
      <c r="BR55" s="69"/>
      <c r="BS55" s="29"/>
      <c r="BT55" s="29"/>
      <c r="BU55" s="29"/>
      <c r="BV55" s="29"/>
      <c r="BW55" s="29"/>
      <c r="BX55" s="29">
        <v>250000</v>
      </c>
      <c r="BY55" s="29">
        <f t="shared" si="6"/>
        <v>5381033</v>
      </c>
      <c r="BZ55" s="29"/>
      <c r="CA55" s="29"/>
      <c r="CB55" s="29"/>
      <c r="CC55" s="69"/>
      <c r="CD55" s="69"/>
      <c r="CE55" s="69"/>
      <c r="CF55" s="69"/>
      <c r="CG55" s="69"/>
      <c r="CH55" s="69">
        <v>3100</v>
      </c>
      <c r="CI55" s="69"/>
      <c r="CJ55" s="69"/>
      <c r="CK55" s="69"/>
      <c r="CL55" s="69"/>
      <c r="CM55" s="69"/>
      <c r="CN55" s="69"/>
      <c r="CO55" s="69"/>
      <c r="CP55" s="69"/>
      <c r="CQ55" s="69"/>
      <c r="CR55" s="69"/>
      <c r="CS55" s="69"/>
      <c r="CT55" s="29"/>
      <c r="CU55" s="29"/>
      <c r="CV55" s="29"/>
      <c r="CW55" s="29">
        <f t="shared" si="12"/>
        <v>3100</v>
      </c>
      <c r="CX55" s="69"/>
    </row>
    <row r="56" spans="1:102" ht="63" customHeight="1" x14ac:dyDescent="0.8">
      <c r="A56" s="12" t="s">
        <v>108</v>
      </c>
      <c r="B56" s="13" t="s">
        <v>109</v>
      </c>
      <c r="C56" s="69"/>
      <c r="D56" s="69"/>
      <c r="E56" s="69">
        <f>1557400+1590500</f>
        <v>3147900</v>
      </c>
      <c r="F56" s="69"/>
      <c r="G56" s="69"/>
      <c r="H56" s="69"/>
      <c r="I56" s="69"/>
      <c r="J56" s="69"/>
      <c r="K56" s="69"/>
      <c r="L56" s="69"/>
      <c r="M56" s="29">
        <f t="shared" si="1"/>
        <v>0</v>
      </c>
      <c r="N56" s="69"/>
      <c r="O56" s="69"/>
      <c r="P56" s="69"/>
      <c r="Q56" s="69"/>
      <c r="R56" s="69"/>
      <c r="S56" s="69"/>
      <c r="T56" s="69"/>
      <c r="U56" s="69">
        <f>430939+20000</f>
        <v>450939</v>
      </c>
      <c r="V56" s="69"/>
      <c r="W56" s="69"/>
      <c r="X56" s="69"/>
      <c r="Y56" s="69"/>
      <c r="Z56" s="29"/>
      <c r="AA56" s="29"/>
      <c r="AB56" s="29">
        <f t="shared" si="2"/>
        <v>338907</v>
      </c>
      <c r="AC56" s="29"/>
      <c r="AD56" s="110">
        <v>338907</v>
      </c>
      <c r="AE56" s="29">
        <f t="shared" si="3"/>
        <v>136040</v>
      </c>
      <c r="AF56" s="69"/>
      <c r="AG56" s="69"/>
      <c r="AH56" s="69">
        <f>139199-3159</f>
        <v>136040</v>
      </c>
      <c r="AI56" s="69"/>
      <c r="AJ56" s="69"/>
      <c r="AK56" s="69"/>
      <c r="AL56" s="69"/>
      <c r="AM56" s="29">
        <f t="shared" si="4"/>
        <v>21427</v>
      </c>
      <c r="AN56" s="104">
        <f>61222-39795</f>
        <v>21427</v>
      </c>
      <c r="AO56" s="29"/>
      <c r="AP56" s="29">
        <f t="shared" si="5"/>
        <v>520369</v>
      </c>
      <c r="AQ56" s="69">
        <v>202338</v>
      </c>
      <c r="AR56" s="69">
        <v>172827</v>
      </c>
      <c r="AS56" s="69">
        <v>125944</v>
      </c>
      <c r="AT56" s="69">
        <v>19260</v>
      </c>
      <c r="AU56" s="69"/>
      <c r="AV56" s="69"/>
      <c r="AW56" s="69"/>
      <c r="AX56" s="69"/>
      <c r="AY56" s="69"/>
      <c r="AZ56" s="69"/>
      <c r="BA56" s="69"/>
      <c r="BB56" s="69"/>
      <c r="BC56" s="69"/>
      <c r="BD56" s="69"/>
      <c r="BE56" s="69"/>
      <c r="BF56" s="69"/>
      <c r="BG56" s="69">
        <f>500000+50000</f>
        <v>550000</v>
      </c>
      <c r="BH56" s="69"/>
      <c r="BI56" s="69"/>
      <c r="BJ56" s="69"/>
      <c r="BK56" s="69"/>
      <c r="BL56" s="69"/>
      <c r="BM56" s="69"/>
      <c r="BN56" s="69"/>
      <c r="BO56" s="69"/>
      <c r="BP56" s="69"/>
      <c r="BQ56" s="69"/>
      <c r="BR56" s="69"/>
      <c r="BS56" s="29"/>
      <c r="BT56" s="29"/>
      <c r="BU56" s="29"/>
      <c r="BV56" s="29"/>
      <c r="BW56" s="29"/>
      <c r="BX56" s="29"/>
      <c r="BY56" s="29">
        <f t="shared" si="6"/>
        <v>5165582</v>
      </c>
      <c r="BZ56" s="29"/>
      <c r="CA56" s="29"/>
      <c r="CB56" s="29"/>
      <c r="CC56" s="69"/>
      <c r="CD56" s="69"/>
      <c r="CE56" s="69">
        <f>30000000</f>
        <v>30000000</v>
      </c>
      <c r="CF56" s="69"/>
      <c r="CG56" s="69"/>
      <c r="CH56" s="69">
        <f>20000</f>
        <v>20000</v>
      </c>
      <c r="CI56" s="69"/>
      <c r="CJ56" s="69"/>
      <c r="CK56" s="69"/>
      <c r="CL56" s="69"/>
      <c r="CM56" s="69"/>
      <c r="CN56" s="69"/>
      <c r="CO56" s="69"/>
      <c r="CP56" s="69"/>
      <c r="CQ56" s="69"/>
      <c r="CR56" s="69"/>
      <c r="CS56" s="69"/>
      <c r="CT56" s="29"/>
      <c r="CU56" s="29"/>
      <c r="CV56" s="29"/>
      <c r="CW56" s="29">
        <f t="shared" si="12"/>
        <v>30020000</v>
      </c>
      <c r="CX56" s="69"/>
    </row>
    <row r="57" spans="1:102" ht="59.25" customHeight="1" x14ac:dyDescent="0.8">
      <c r="A57" s="12" t="s">
        <v>110</v>
      </c>
      <c r="B57" s="13" t="s">
        <v>111</v>
      </c>
      <c r="C57" s="69"/>
      <c r="D57" s="69"/>
      <c r="E57" s="69">
        <f>1062800+1085500</f>
        <v>2148300</v>
      </c>
      <c r="F57" s="69"/>
      <c r="G57" s="69"/>
      <c r="H57" s="69"/>
      <c r="I57" s="69"/>
      <c r="J57" s="69">
        <f>3751</f>
        <v>3751</v>
      </c>
      <c r="K57" s="69"/>
      <c r="L57" s="69"/>
      <c r="M57" s="29">
        <f t="shared" si="1"/>
        <v>0</v>
      </c>
      <c r="N57" s="69"/>
      <c r="O57" s="69"/>
      <c r="P57" s="69"/>
      <c r="Q57" s="69"/>
      <c r="R57" s="69"/>
      <c r="S57" s="69"/>
      <c r="T57" s="69"/>
      <c r="U57" s="69">
        <v>197814</v>
      </c>
      <c r="V57" s="69"/>
      <c r="W57" s="69"/>
      <c r="X57" s="69"/>
      <c r="Y57" s="69"/>
      <c r="Z57" s="29"/>
      <c r="AA57" s="29"/>
      <c r="AB57" s="29">
        <f t="shared" si="2"/>
        <v>0</v>
      </c>
      <c r="AC57" s="29"/>
      <c r="AD57" s="29"/>
      <c r="AE57" s="29">
        <f t="shared" si="3"/>
        <v>1070263.75</v>
      </c>
      <c r="AF57" s="69">
        <f>267100</f>
        <v>267100</v>
      </c>
      <c r="AG57" s="69"/>
      <c r="AH57" s="69">
        <f>77333-1755</f>
        <v>75578</v>
      </c>
      <c r="AI57" s="69"/>
      <c r="AJ57" s="69"/>
      <c r="AK57" s="69"/>
      <c r="AL57" s="69">
        <f>727585.75</f>
        <v>727585.75</v>
      </c>
      <c r="AM57" s="29">
        <f t="shared" si="4"/>
        <v>0</v>
      </c>
      <c r="AN57" s="29"/>
      <c r="AO57" s="29"/>
      <c r="AP57" s="29">
        <f t="shared" si="5"/>
        <v>287438</v>
      </c>
      <c r="AQ57" s="69">
        <v>112410</v>
      </c>
      <c r="AR57" s="69">
        <v>71928</v>
      </c>
      <c r="AS57" s="69">
        <v>89960</v>
      </c>
      <c r="AT57" s="69">
        <v>13140</v>
      </c>
      <c r="AU57" s="69"/>
      <c r="AV57" s="69"/>
      <c r="AW57" s="69"/>
      <c r="AX57" s="69"/>
      <c r="AY57" s="69"/>
      <c r="AZ57" s="69"/>
      <c r="BA57" s="69"/>
      <c r="BB57" s="69"/>
      <c r="BC57" s="69"/>
      <c r="BD57" s="69"/>
      <c r="BE57" s="69"/>
      <c r="BF57" s="69">
        <f>350000</f>
        <v>350000</v>
      </c>
      <c r="BG57" s="69">
        <f>300000+50000</f>
        <v>350000</v>
      </c>
      <c r="BH57" s="69"/>
      <c r="BI57" s="69"/>
      <c r="BJ57" s="69"/>
      <c r="BK57" s="69"/>
      <c r="BL57" s="69"/>
      <c r="BM57" s="69"/>
      <c r="BN57" s="69"/>
      <c r="BO57" s="69"/>
      <c r="BP57" s="69"/>
      <c r="BQ57" s="69"/>
      <c r="BR57" s="69"/>
      <c r="BS57" s="29"/>
      <c r="BT57" s="29"/>
      <c r="BU57" s="29"/>
      <c r="BV57" s="29"/>
      <c r="BW57" s="29"/>
      <c r="BX57" s="29"/>
      <c r="BY57" s="29">
        <f t="shared" si="6"/>
        <v>4407566.75</v>
      </c>
      <c r="BZ57" s="29"/>
      <c r="CA57" s="29"/>
      <c r="CB57" s="29"/>
      <c r="CC57" s="69"/>
      <c r="CD57" s="69"/>
      <c r="CE57" s="69"/>
      <c r="CF57" s="69"/>
      <c r="CG57" s="69"/>
      <c r="CH57" s="69"/>
      <c r="CI57" s="69"/>
      <c r="CJ57" s="69"/>
      <c r="CK57" s="69"/>
      <c r="CL57" s="69"/>
      <c r="CM57" s="69"/>
      <c r="CN57" s="69"/>
      <c r="CO57" s="69"/>
      <c r="CP57" s="69"/>
      <c r="CQ57" s="69"/>
      <c r="CR57" s="69"/>
      <c r="CS57" s="69"/>
      <c r="CT57" s="29"/>
      <c r="CU57" s="29"/>
      <c r="CV57" s="29"/>
      <c r="CW57" s="29">
        <f t="shared" si="12"/>
        <v>0</v>
      </c>
      <c r="CX57" s="69"/>
    </row>
    <row r="58" spans="1:102" ht="63" customHeight="1" x14ac:dyDescent="0.8">
      <c r="A58" s="12" t="s">
        <v>112</v>
      </c>
      <c r="B58" s="13" t="s">
        <v>113</v>
      </c>
      <c r="C58" s="69"/>
      <c r="D58" s="69"/>
      <c r="E58" s="69">
        <f>377600+385700</f>
        <v>763300</v>
      </c>
      <c r="F58" s="69"/>
      <c r="G58" s="69"/>
      <c r="H58" s="69"/>
      <c r="I58" s="69"/>
      <c r="J58" s="69"/>
      <c r="K58" s="69"/>
      <c r="L58" s="69"/>
      <c r="M58" s="29">
        <f t="shared" si="1"/>
        <v>0</v>
      </c>
      <c r="N58" s="69"/>
      <c r="O58" s="69"/>
      <c r="P58" s="69"/>
      <c r="Q58" s="69"/>
      <c r="R58" s="69"/>
      <c r="S58" s="69"/>
      <c r="T58" s="69"/>
      <c r="U58" s="69"/>
      <c r="V58" s="69"/>
      <c r="W58" s="69"/>
      <c r="X58" s="69"/>
      <c r="Y58" s="69"/>
      <c r="Z58" s="29"/>
      <c r="AA58" s="29"/>
      <c r="AB58" s="29">
        <f t="shared" si="2"/>
        <v>0</v>
      </c>
      <c r="AC58" s="29"/>
      <c r="AD58" s="29"/>
      <c r="AE58" s="29">
        <f t="shared" si="3"/>
        <v>15116</v>
      </c>
      <c r="AF58" s="69"/>
      <c r="AG58" s="69"/>
      <c r="AH58" s="69">
        <f>15467-351</f>
        <v>15116</v>
      </c>
      <c r="AI58" s="69"/>
      <c r="AJ58" s="69"/>
      <c r="AK58" s="69"/>
      <c r="AL58" s="69"/>
      <c r="AM58" s="29">
        <f t="shared" si="4"/>
        <v>0</v>
      </c>
      <c r="AN58" s="29"/>
      <c r="AO58" s="29"/>
      <c r="AP58" s="29">
        <f t="shared" si="5"/>
        <v>62314</v>
      </c>
      <c r="AQ58" s="69">
        <v>22482</v>
      </c>
      <c r="AR58" s="69">
        <v>19980</v>
      </c>
      <c r="AS58" s="69">
        <v>17992</v>
      </c>
      <c r="AT58" s="69">
        <v>1860</v>
      </c>
      <c r="AU58" s="69"/>
      <c r="AV58" s="69"/>
      <c r="AW58" s="69"/>
      <c r="AX58" s="69"/>
      <c r="AY58" s="69"/>
      <c r="AZ58" s="69"/>
      <c r="BA58" s="69"/>
      <c r="BB58" s="69"/>
      <c r="BC58" s="69"/>
      <c r="BD58" s="69"/>
      <c r="BE58" s="69"/>
      <c r="BF58" s="69">
        <f>250000</f>
        <v>250000</v>
      </c>
      <c r="BG58" s="69">
        <v>17500</v>
      </c>
      <c r="BH58" s="69"/>
      <c r="BI58" s="69"/>
      <c r="BJ58" s="69"/>
      <c r="BK58" s="69"/>
      <c r="BL58" s="69"/>
      <c r="BM58" s="69"/>
      <c r="BN58" s="69"/>
      <c r="BO58" s="69"/>
      <c r="BP58" s="69"/>
      <c r="BQ58" s="69"/>
      <c r="BR58" s="69"/>
      <c r="BS58" s="29"/>
      <c r="BT58" s="29"/>
      <c r="BU58" s="29"/>
      <c r="BV58" s="29"/>
      <c r="BW58" s="29"/>
      <c r="BX58" s="29"/>
      <c r="BY58" s="29">
        <f t="shared" si="6"/>
        <v>1108230</v>
      </c>
      <c r="BZ58" s="29"/>
      <c r="CA58" s="29"/>
      <c r="CB58" s="29"/>
      <c r="CC58" s="69"/>
      <c r="CD58" s="69"/>
      <c r="CE58" s="69"/>
      <c r="CF58" s="69"/>
      <c r="CG58" s="69"/>
      <c r="CH58" s="69">
        <f>2200</f>
        <v>2200</v>
      </c>
      <c r="CI58" s="69"/>
      <c r="CJ58" s="69"/>
      <c r="CK58" s="69"/>
      <c r="CL58" s="69"/>
      <c r="CM58" s="69"/>
      <c r="CN58" s="69"/>
      <c r="CO58" s="69"/>
      <c r="CP58" s="69"/>
      <c r="CQ58" s="69"/>
      <c r="CR58" s="69"/>
      <c r="CS58" s="69"/>
      <c r="CT58" s="29"/>
      <c r="CU58" s="29"/>
      <c r="CV58" s="29"/>
      <c r="CW58" s="29">
        <f t="shared" si="12"/>
        <v>2200</v>
      </c>
      <c r="CX58" s="69"/>
    </row>
    <row r="59" spans="1:102" ht="59.25" customHeight="1" x14ac:dyDescent="0.8">
      <c r="A59" s="12" t="s">
        <v>159</v>
      </c>
      <c r="B59" s="13" t="s">
        <v>160</v>
      </c>
      <c r="C59" s="69"/>
      <c r="D59" s="69"/>
      <c r="E59" s="69">
        <f>422900+432000</f>
        <v>854900</v>
      </c>
      <c r="F59" s="69"/>
      <c r="G59" s="69"/>
      <c r="H59" s="69"/>
      <c r="I59" s="69"/>
      <c r="J59" s="69"/>
      <c r="K59" s="69"/>
      <c r="L59" s="69"/>
      <c r="M59" s="29">
        <f t="shared" si="1"/>
        <v>0</v>
      </c>
      <c r="N59" s="69"/>
      <c r="O59" s="69"/>
      <c r="P59" s="69"/>
      <c r="Q59" s="69"/>
      <c r="R59" s="69"/>
      <c r="S59" s="69"/>
      <c r="T59" s="69"/>
      <c r="U59" s="69"/>
      <c r="V59" s="69"/>
      <c r="W59" s="69"/>
      <c r="X59" s="69"/>
      <c r="Y59" s="69"/>
      <c r="Z59" s="29"/>
      <c r="AA59" s="29"/>
      <c r="AB59" s="29">
        <f t="shared" si="2"/>
        <v>0</v>
      </c>
      <c r="AC59" s="29"/>
      <c r="AD59" s="29"/>
      <c r="AE59" s="29">
        <f t="shared" si="3"/>
        <v>30231</v>
      </c>
      <c r="AF59" s="69"/>
      <c r="AG59" s="69"/>
      <c r="AH59" s="69">
        <f>30933-702</f>
        <v>30231</v>
      </c>
      <c r="AI59" s="69"/>
      <c r="AJ59" s="69"/>
      <c r="AK59" s="69"/>
      <c r="AL59" s="69"/>
      <c r="AM59" s="29">
        <f t="shared" si="4"/>
        <v>0</v>
      </c>
      <c r="AN59" s="29"/>
      <c r="AO59" s="29"/>
      <c r="AP59" s="29">
        <f t="shared" si="5"/>
        <v>123629</v>
      </c>
      <c r="AQ59" s="69">
        <v>44964</v>
      </c>
      <c r="AR59" s="69">
        <v>38961</v>
      </c>
      <c r="AS59" s="69">
        <v>35984</v>
      </c>
      <c r="AT59" s="69">
        <v>3720</v>
      </c>
      <c r="AU59" s="69"/>
      <c r="AV59" s="69"/>
      <c r="AW59" s="69"/>
      <c r="AX59" s="69"/>
      <c r="AY59" s="69"/>
      <c r="AZ59" s="69"/>
      <c r="BA59" s="69"/>
      <c r="BB59" s="69"/>
      <c r="BC59" s="69"/>
      <c r="BD59" s="69"/>
      <c r="BE59" s="69"/>
      <c r="BF59" s="69"/>
      <c r="BG59" s="69">
        <v>17500</v>
      </c>
      <c r="BH59" s="29"/>
      <c r="BI59" s="29"/>
      <c r="BJ59" s="69"/>
      <c r="BK59" s="69"/>
      <c r="BL59" s="69"/>
      <c r="BM59" s="69"/>
      <c r="BN59" s="69"/>
      <c r="BO59" s="69"/>
      <c r="BP59" s="69"/>
      <c r="BQ59" s="69"/>
      <c r="BR59" s="69"/>
      <c r="BS59" s="29"/>
      <c r="BT59" s="29"/>
      <c r="BU59" s="29"/>
      <c r="BV59" s="29"/>
      <c r="BW59" s="29"/>
      <c r="BX59" s="29"/>
      <c r="BY59" s="29">
        <f t="shared" si="6"/>
        <v>1026260</v>
      </c>
      <c r="BZ59" s="29"/>
      <c r="CA59" s="29"/>
      <c r="CB59" s="29"/>
      <c r="CC59" s="69"/>
      <c r="CD59" s="69">
        <f>500000-450000</f>
        <v>50000</v>
      </c>
      <c r="CE59" s="69"/>
      <c r="CF59" s="69"/>
      <c r="CG59" s="69"/>
      <c r="CH59" s="69">
        <v>3700</v>
      </c>
      <c r="CI59" s="69"/>
      <c r="CJ59" s="69"/>
      <c r="CK59" s="69"/>
      <c r="CL59" s="69"/>
      <c r="CM59" s="69"/>
      <c r="CN59" s="69"/>
      <c r="CO59" s="69"/>
      <c r="CP59" s="69"/>
      <c r="CQ59" s="69"/>
      <c r="CR59" s="69"/>
      <c r="CS59" s="69"/>
      <c r="CT59" s="29"/>
      <c r="CU59" s="29"/>
      <c r="CV59" s="29"/>
      <c r="CW59" s="29">
        <f t="shared" si="12"/>
        <v>53700</v>
      </c>
      <c r="CX59" s="69"/>
    </row>
    <row r="60" spans="1:102" ht="59.25" customHeight="1" x14ac:dyDescent="0.8">
      <c r="A60" s="12" t="s">
        <v>114</v>
      </c>
      <c r="B60" s="13" t="s">
        <v>115</v>
      </c>
      <c r="C60" s="69"/>
      <c r="D60" s="69"/>
      <c r="E60" s="69">
        <f>474900+485000</f>
        <v>959900</v>
      </c>
      <c r="F60" s="69"/>
      <c r="G60" s="69"/>
      <c r="H60" s="69"/>
      <c r="I60" s="69"/>
      <c r="J60" s="69"/>
      <c r="K60" s="69"/>
      <c r="L60" s="69"/>
      <c r="M60" s="29">
        <f t="shared" si="1"/>
        <v>0</v>
      </c>
      <c r="N60" s="69"/>
      <c r="O60" s="69"/>
      <c r="P60" s="69"/>
      <c r="Q60" s="69"/>
      <c r="R60" s="69"/>
      <c r="S60" s="69"/>
      <c r="T60" s="69"/>
      <c r="U60" s="69"/>
      <c r="V60" s="69"/>
      <c r="W60" s="69"/>
      <c r="X60" s="69"/>
      <c r="Y60" s="69"/>
      <c r="Z60" s="29"/>
      <c r="AA60" s="29"/>
      <c r="AB60" s="29">
        <f t="shared" si="2"/>
        <v>0</v>
      </c>
      <c r="AC60" s="29"/>
      <c r="AD60" s="29"/>
      <c r="AE60" s="29">
        <f t="shared" si="3"/>
        <v>45347</v>
      </c>
      <c r="AF60" s="69"/>
      <c r="AG60" s="69"/>
      <c r="AH60" s="69">
        <f>46400-1053</f>
        <v>45347</v>
      </c>
      <c r="AI60" s="69"/>
      <c r="AJ60" s="69"/>
      <c r="AK60" s="69"/>
      <c r="AL60" s="69"/>
      <c r="AM60" s="29">
        <f t="shared" si="4"/>
        <v>0</v>
      </c>
      <c r="AN60" s="29"/>
      <c r="AO60" s="29"/>
      <c r="AP60" s="29">
        <f t="shared" si="5"/>
        <v>154405</v>
      </c>
      <c r="AQ60" s="69">
        <v>67446</v>
      </c>
      <c r="AR60" s="69">
        <v>44955</v>
      </c>
      <c r="AS60" s="69">
        <v>35984</v>
      </c>
      <c r="AT60" s="69">
        <v>6020</v>
      </c>
      <c r="AU60" s="69"/>
      <c r="AV60" s="69"/>
      <c r="AW60" s="69"/>
      <c r="AX60" s="69"/>
      <c r="AY60" s="69"/>
      <c r="AZ60" s="69"/>
      <c r="BA60" s="69"/>
      <c r="BB60" s="69"/>
      <c r="BC60" s="69"/>
      <c r="BD60" s="69"/>
      <c r="BE60" s="69"/>
      <c r="BF60" s="69">
        <f>300000</f>
        <v>300000</v>
      </c>
      <c r="BG60" s="69">
        <v>15000</v>
      </c>
      <c r="BH60" s="69"/>
      <c r="BI60" s="69"/>
      <c r="BJ60" s="69"/>
      <c r="BK60" s="69"/>
      <c r="BL60" s="69"/>
      <c r="BM60" s="69"/>
      <c r="BN60" s="69"/>
      <c r="BO60" s="69"/>
      <c r="BP60" s="69"/>
      <c r="BQ60" s="69"/>
      <c r="BR60" s="69"/>
      <c r="BS60" s="29"/>
      <c r="BT60" s="29"/>
      <c r="BU60" s="29"/>
      <c r="BV60" s="29"/>
      <c r="BW60" s="29"/>
      <c r="BX60" s="29"/>
      <c r="BY60" s="29">
        <f t="shared" si="6"/>
        <v>1474652</v>
      </c>
      <c r="BZ60" s="29"/>
      <c r="CA60" s="29"/>
      <c r="CB60" s="29"/>
      <c r="CC60" s="69"/>
      <c r="CD60" s="69"/>
      <c r="CE60" s="69"/>
      <c r="CF60" s="69"/>
      <c r="CG60" s="69"/>
      <c r="CH60" s="69">
        <v>5000</v>
      </c>
      <c r="CI60" s="69"/>
      <c r="CJ60" s="69"/>
      <c r="CK60" s="69"/>
      <c r="CL60" s="69"/>
      <c r="CM60" s="69"/>
      <c r="CN60" s="69"/>
      <c r="CO60" s="69"/>
      <c r="CP60" s="69"/>
      <c r="CQ60" s="69"/>
      <c r="CR60" s="69"/>
      <c r="CS60" s="69"/>
      <c r="CT60" s="29"/>
      <c r="CU60" s="29"/>
      <c r="CV60" s="29"/>
      <c r="CW60" s="29">
        <f t="shared" si="12"/>
        <v>5000</v>
      </c>
      <c r="CX60" s="69"/>
    </row>
    <row r="61" spans="1:102" ht="66.75" customHeight="1" x14ac:dyDescent="0.8">
      <c r="A61" s="12" t="s">
        <v>116</v>
      </c>
      <c r="B61" s="13" t="s">
        <v>117</v>
      </c>
      <c r="C61" s="69"/>
      <c r="D61" s="69"/>
      <c r="E61" s="69">
        <f>325400+332400</f>
        <v>657800</v>
      </c>
      <c r="F61" s="69"/>
      <c r="G61" s="69"/>
      <c r="H61" s="69"/>
      <c r="I61" s="69"/>
      <c r="J61" s="69"/>
      <c r="K61" s="69"/>
      <c r="L61" s="69"/>
      <c r="M61" s="29">
        <f t="shared" si="1"/>
        <v>0</v>
      </c>
      <c r="N61" s="69"/>
      <c r="O61" s="69"/>
      <c r="P61" s="69"/>
      <c r="Q61" s="69"/>
      <c r="R61" s="69"/>
      <c r="S61" s="69"/>
      <c r="T61" s="69"/>
      <c r="U61" s="69">
        <f>211646+30000+60000</f>
        <v>301646</v>
      </c>
      <c r="V61" s="69"/>
      <c r="W61" s="69"/>
      <c r="X61" s="69"/>
      <c r="Y61" s="69"/>
      <c r="Z61" s="29"/>
      <c r="AA61" s="29"/>
      <c r="AB61" s="29">
        <f t="shared" si="2"/>
        <v>112969</v>
      </c>
      <c r="AC61" s="29"/>
      <c r="AD61" s="110">
        <v>112969</v>
      </c>
      <c r="AE61" s="29">
        <f t="shared" si="3"/>
        <v>75578</v>
      </c>
      <c r="AF61" s="69"/>
      <c r="AG61" s="69"/>
      <c r="AH61" s="69">
        <f>77333-1755</f>
        <v>75578</v>
      </c>
      <c r="AI61" s="69"/>
      <c r="AJ61" s="69"/>
      <c r="AK61" s="69"/>
      <c r="AL61" s="69"/>
      <c r="AM61" s="29">
        <f t="shared" si="4"/>
        <v>0</v>
      </c>
      <c r="AN61" s="29"/>
      <c r="AO61" s="29"/>
      <c r="AP61" s="29">
        <f t="shared" si="5"/>
        <v>268141</v>
      </c>
      <c r="AQ61" s="69">
        <v>112410</v>
      </c>
      <c r="AR61" s="69">
        <v>76923</v>
      </c>
      <c r="AS61" s="69">
        <v>71968</v>
      </c>
      <c r="AT61" s="69">
        <v>6840</v>
      </c>
      <c r="AU61" s="69"/>
      <c r="AV61" s="69"/>
      <c r="AW61" s="69"/>
      <c r="AX61" s="69"/>
      <c r="AY61" s="69"/>
      <c r="AZ61" s="69"/>
      <c r="BA61" s="69"/>
      <c r="BB61" s="69"/>
      <c r="BC61" s="69"/>
      <c r="BD61" s="69"/>
      <c r="BE61" s="69"/>
      <c r="BF61" s="69"/>
      <c r="BG61" s="69">
        <f>280000+25000</f>
        <v>305000</v>
      </c>
      <c r="BH61" s="69"/>
      <c r="BI61" s="69"/>
      <c r="BJ61" s="69"/>
      <c r="BK61" s="69"/>
      <c r="BL61" s="69"/>
      <c r="BM61" s="69"/>
      <c r="BN61" s="69"/>
      <c r="BO61" s="69"/>
      <c r="BP61" s="69"/>
      <c r="BQ61" s="69">
        <f>1000000</f>
        <v>1000000</v>
      </c>
      <c r="BR61" s="69"/>
      <c r="BS61" s="29"/>
      <c r="BT61" s="29"/>
      <c r="BU61" s="29"/>
      <c r="BV61" s="29"/>
      <c r="BW61" s="29"/>
      <c r="BX61" s="29"/>
      <c r="BY61" s="29">
        <f t="shared" si="6"/>
        <v>2721134</v>
      </c>
      <c r="BZ61" s="29"/>
      <c r="CA61" s="29"/>
      <c r="CB61" s="29"/>
      <c r="CC61" s="69"/>
      <c r="CD61" s="69"/>
      <c r="CE61" s="69"/>
      <c r="CF61" s="69">
        <v>16500000</v>
      </c>
      <c r="CG61" s="69"/>
      <c r="CH61" s="69">
        <v>11200</v>
      </c>
      <c r="CI61" s="69"/>
      <c r="CJ61" s="69"/>
      <c r="CK61" s="69"/>
      <c r="CL61" s="69"/>
      <c r="CM61" s="69"/>
      <c r="CN61" s="69"/>
      <c r="CO61" s="69"/>
      <c r="CP61" s="69"/>
      <c r="CQ61" s="69"/>
      <c r="CR61" s="69"/>
      <c r="CS61" s="69"/>
      <c r="CT61" s="29"/>
      <c r="CU61" s="29"/>
      <c r="CV61" s="29"/>
      <c r="CW61" s="29">
        <f t="shared" si="12"/>
        <v>16511200</v>
      </c>
      <c r="CX61" s="69"/>
    </row>
    <row r="62" spans="1:102" ht="63" customHeight="1" x14ac:dyDescent="0.8">
      <c r="A62" s="12" t="s">
        <v>118</v>
      </c>
      <c r="B62" s="13" t="s">
        <v>119</v>
      </c>
      <c r="C62" s="69"/>
      <c r="D62" s="69"/>
      <c r="E62" s="69">
        <f>678100+692600</f>
        <v>1370700</v>
      </c>
      <c r="F62" s="69"/>
      <c r="G62" s="69"/>
      <c r="H62" s="69"/>
      <c r="I62" s="69"/>
      <c r="J62" s="69"/>
      <c r="K62" s="69"/>
      <c r="L62" s="69"/>
      <c r="M62" s="29">
        <f t="shared" si="1"/>
        <v>0</v>
      </c>
      <c r="N62" s="69"/>
      <c r="O62" s="69"/>
      <c r="P62" s="69"/>
      <c r="Q62" s="69"/>
      <c r="R62" s="69"/>
      <c r="S62" s="69"/>
      <c r="T62" s="69"/>
      <c r="U62" s="69"/>
      <c r="V62" s="69"/>
      <c r="W62" s="69"/>
      <c r="X62" s="69"/>
      <c r="Y62" s="69"/>
      <c r="Z62" s="29"/>
      <c r="AA62" s="29"/>
      <c r="AB62" s="29">
        <f t="shared" si="2"/>
        <v>112969</v>
      </c>
      <c r="AC62" s="29"/>
      <c r="AD62" s="110">
        <v>112969</v>
      </c>
      <c r="AE62" s="29">
        <f t="shared" si="3"/>
        <v>45347</v>
      </c>
      <c r="AF62" s="69"/>
      <c r="AG62" s="69"/>
      <c r="AH62" s="69">
        <f>46400-1053</f>
        <v>45347</v>
      </c>
      <c r="AI62" s="69"/>
      <c r="AJ62" s="69"/>
      <c r="AK62" s="69"/>
      <c r="AL62" s="69"/>
      <c r="AM62" s="29">
        <f t="shared" si="4"/>
        <v>0</v>
      </c>
      <c r="AN62" s="29"/>
      <c r="AO62" s="29"/>
      <c r="AP62" s="29">
        <f t="shared" si="5"/>
        <v>155133</v>
      </c>
      <c r="AQ62" s="69">
        <v>67446</v>
      </c>
      <c r="AR62" s="69">
        <v>28971</v>
      </c>
      <c r="AS62" s="69">
        <v>53976</v>
      </c>
      <c r="AT62" s="69">
        <v>4740</v>
      </c>
      <c r="AU62" s="69"/>
      <c r="AV62" s="69"/>
      <c r="AW62" s="69"/>
      <c r="AX62" s="69"/>
      <c r="AY62" s="69"/>
      <c r="AZ62" s="69"/>
      <c r="BA62" s="69"/>
      <c r="BB62" s="69"/>
      <c r="BC62" s="69"/>
      <c r="BD62" s="69"/>
      <c r="BE62" s="69"/>
      <c r="BF62" s="69">
        <f>450000</f>
        <v>450000</v>
      </c>
      <c r="BG62" s="69">
        <v>30000</v>
      </c>
      <c r="BH62" s="69"/>
      <c r="BI62" s="69"/>
      <c r="BJ62" s="69"/>
      <c r="BK62" s="69"/>
      <c r="BL62" s="69"/>
      <c r="BM62" s="69"/>
      <c r="BN62" s="69"/>
      <c r="BO62" s="69"/>
      <c r="BP62" s="69"/>
      <c r="BQ62" s="69"/>
      <c r="BR62" s="69"/>
      <c r="BS62" s="29"/>
      <c r="BT62" s="29"/>
      <c r="BU62" s="29"/>
      <c r="BV62" s="29"/>
      <c r="BW62" s="29"/>
      <c r="BX62" s="29"/>
      <c r="BY62" s="29">
        <f t="shared" si="6"/>
        <v>2164149</v>
      </c>
      <c r="BZ62" s="29"/>
      <c r="CA62" s="29"/>
      <c r="CB62" s="29"/>
      <c r="CC62" s="69"/>
      <c r="CD62" s="69"/>
      <c r="CE62" s="69"/>
      <c r="CF62" s="69"/>
      <c r="CG62" s="69"/>
      <c r="CH62" s="69">
        <v>4300</v>
      </c>
      <c r="CI62" s="69"/>
      <c r="CJ62" s="69"/>
      <c r="CK62" s="69"/>
      <c r="CL62" s="69"/>
      <c r="CM62" s="69"/>
      <c r="CN62" s="69"/>
      <c r="CO62" s="69"/>
      <c r="CP62" s="69"/>
      <c r="CQ62" s="69"/>
      <c r="CR62" s="69"/>
      <c r="CS62" s="69"/>
      <c r="CT62" s="29"/>
      <c r="CU62" s="29"/>
      <c r="CV62" s="29"/>
      <c r="CW62" s="29">
        <f t="shared" si="12"/>
        <v>4300</v>
      </c>
      <c r="CX62" s="69"/>
    </row>
    <row r="63" spans="1:102" ht="63" customHeight="1" x14ac:dyDescent="0.8">
      <c r="A63" s="12" t="s">
        <v>120</v>
      </c>
      <c r="B63" s="13" t="s">
        <v>121</v>
      </c>
      <c r="C63" s="69"/>
      <c r="D63" s="69"/>
      <c r="E63" s="69">
        <f>1906600+1947400</f>
        <v>3854000</v>
      </c>
      <c r="F63" s="69"/>
      <c r="G63" s="69"/>
      <c r="H63" s="69"/>
      <c r="I63" s="69"/>
      <c r="J63" s="69">
        <f>31679</f>
        <v>31679</v>
      </c>
      <c r="K63" s="69">
        <v>194000</v>
      </c>
      <c r="L63" s="69"/>
      <c r="M63" s="29">
        <f t="shared" si="1"/>
        <v>0</v>
      </c>
      <c r="N63" s="69"/>
      <c r="O63" s="69"/>
      <c r="P63" s="69"/>
      <c r="Q63" s="69"/>
      <c r="R63" s="69"/>
      <c r="S63" s="69"/>
      <c r="T63" s="69"/>
      <c r="U63" s="69">
        <f>313457+69092+80000</f>
        <v>462549</v>
      </c>
      <c r="V63" s="69"/>
      <c r="W63" s="69"/>
      <c r="X63" s="69"/>
      <c r="Y63" s="69">
        <f>2065507</f>
        <v>2065507</v>
      </c>
      <c r="Z63" s="29"/>
      <c r="AA63" s="29"/>
      <c r="AB63" s="29">
        <f t="shared" si="2"/>
        <v>323500</v>
      </c>
      <c r="AC63" s="110">
        <f>323500</f>
        <v>323500</v>
      </c>
      <c r="AD63" s="29"/>
      <c r="AE63" s="29">
        <f t="shared" si="3"/>
        <v>551155</v>
      </c>
      <c r="AF63" s="69"/>
      <c r="AG63" s="69"/>
      <c r="AH63" s="69">
        <f>154665-3510</f>
        <v>151155</v>
      </c>
      <c r="AI63" s="69">
        <f>400000</f>
        <v>400000</v>
      </c>
      <c r="AJ63" s="69"/>
      <c r="AK63" s="69"/>
      <c r="AL63" s="69"/>
      <c r="AM63" s="29">
        <f t="shared" si="4"/>
        <v>52112</v>
      </c>
      <c r="AN63" s="104">
        <f>61222-9110</f>
        <v>52112</v>
      </c>
      <c r="AO63" s="29"/>
      <c r="AP63" s="29">
        <f t="shared" si="5"/>
        <v>488314</v>
      </c>
      <c r="AQ63" s="69">
        <v>224820</v>
      </c>
      <c r="AR63" s="69">
        <v>165834</v>
      </c>
      <c r="AS63" s="69">
        <v>89960</v>
      </c>
      <c r="AT63" s="69">
        <v>7700</v>
      </c>
      <c r="AU63" s="69"/>
      <c r="AV63" s="69"/>
      <c r="AW63" s="69"/>
      <c r="AX63" s="69"/>
      <c r="AY63" s="69"/>
      <c r="AZ63" s="69"/>
      <c r="BA63" s="69"/>
      <c r="BB63" s="69"/>
      <c r="BC63" s="69"/>
      <c r="BD63" s="69"/>
      <c r="BE63" s="69"/>
      <c r="BF63" s="69"/>
      <c r="BG63" s="69">
        <f>350000+30000</f>
        <v>380000</v>
      </c>
      <c r="BH63" s="69"/>
      <c r="BI63" s="69"/>
      <c r="BJ63" s="69"/>
      <c r="BK63" s="69"/>
      <c r="BL63" s="69"/>
      <c r="BM63" s="69"/>
      <c r="BN63" s="69"/>
      <c r="BO63" s="69"/>
      <c r="BP63" s="69"/>
      <c r="BQ63" s="69"/>
      <c r="BR63" s="69"/>
      <c r="BS63" s="29"/>
      <c r="BT63" s="29"/>
      <c r="BU63" s="29"/>
      <c r="BV63" s="29"/>
      <c r="BW63" s="29"/>
      <c r="BX63" s="29"/>
      <c r="BY63" s="29">
        <f t="shared" si="6"/>
        <v>8402816</v>
      </c>
      <c r="BZ63" s="29"/>
      <c r="CA63" s="29"/>
      <c r="CB63" s="29"/>
      <c r="CC63" s="69"/>
      <c r="CD63" s="69"/>
      <c r="CE63" s="69"/>
      <c r="CF63" s="69"/>
      <c r="CG63" s="69"/>
      <c r="CH63" s="69">
        <v>14100</v>
      </c>
      <c r="CI63" s="69"/>
      <c r="CJ63" s="69"/>
      <c r="CK63" s="69"/>
      <c r="CL63" s="69"/>
      <c r="CM63" s="69"/>
      <c r="CN63" s="69"/>
      <c r="CO63" s="69"/>
      <c r="CP63" s="69"/>
      <c r="CQ63" s="69"/>
      <c r="CR63" s="69"/>
      <c r="CS63" s="69"/>
      <c r="CT63" s="29"/>
      <c r="CU63" s="29"/>
      <c r="CV63" s="29"/>
      <c r="CW63" s="29">
        <f t="shared" si="12"/>
        <v>14100</v>
      </c>
      <c r="CX63" s="69"/>
    </row>
    <row r="64" spans="1:102" ht="55.5" customHeight="1" x14ac:dyDescent="0.8">
      <c r="A64" s="12" t="s">
        <v>122</v>
      </c>
      <c r="B64" s="13" t="s">
        <v>123</v>
      </c>
      <c r="C64" s="69"/>
      <c r="D64" s="113">
        <f>300000</f>
        <v>300000</v>
      </c>
      <c r="E64" s="69">
        <f>350000+357500</f>
        <v>707500</v>
      </c>
      <c r="F64" s="69"/>
      <c r="G64" s="69"/>
      <c r="H64" s="69"/>
      <c r="I64" s="69"/>
      <c r="J64" s="69"/>
      <c r="K64" s="69"/>
      <c r="L64" s="69"/>
      <c r="M64" s="29">
        <f t="shared" si="1"/>
        <v>0</v>
      </c>
      <c r="N64" s="69"/>
      <c r="O64" s="69"/>
      <c r="P64" s="69"/>
      <c r="Q64" s="69"/>
      <c r="R64" s="69"/>
      <c r="S64" s="69"/>
      <c r="T64" s="69"/>
      <c r="U64" s="69">
        <v>254324</v>
      </c>
      <c r="V64" s="69"/>
      <c r="W64" s="69"/>
      <c r="X64" s="69"/>
      <c r="Y64" s="69"/>
      <c r="Z64" s="29"/>
      <c r="AA64" s="29"/>
      <c r="AB64" s="29">
        <f t="shared" si="2"/>
        <v>0</v>
      </c>
      <c r="AC64" s="29"/>
      <c r="AD64" s="29"/>
      <c r="AE64" s="29">
        <f t="shared" si="3"/>
        <v>3590388</v>
      </c>
      <c r="AF64" s="69">
        <v>3545041</v>
      </c>
      <c r="AG64" s="69"/>
      <c r="AH64" s="69">
        <f>46400-1053</f>
        <v>45347</v>
      </c>
      <c r="AI64" s="69"/>
      <c r="AJ64" s="69"/>
      <c r="AK64" s="69"/>
      <c r="AL64" s="69"/>
      <c r="AM64" s="29">
        <f t="shared" si="4"/>
        <v>0</v>
      </c>
      <c r="AN64" s="29"/>
      <c r="AO64" s="29"/>
      <c r="AP64" s="29">
        <f t="shared" si="5"/>
        <v>160297</v>
      </c>
      <c r="AQ64" s="69">
        <v>67446</v>
      </c>
      <c r="AR64" s="69">
        <v>52947</v>
      </c>
      <c r="AS64" s="69">
        <v>35984</v>
      </c>
      <c r="AT64" s="69">
        <v>3920</v>
      </c>
      <c r="AU64" s="69"/>
      <c r="AV64" s="69"/>
      <c r="AW64" s="69"/>
      <c r="AX64" s="69"/>
      <c r="AY64" s="69"/>
      <c r="AZ64" s="69"/>
      <c r="BA64" s="69"/>
      <c r="BB64" s="69"/>
      <c r="BC64" s="69"/>
      <c r="BD64" s="69"/>
      <c r="BE64" s="69"/>
      <c r="BF64" s="69">
        <f>300000</f>
        <v>300000</v>
      </c>
      <c r="BG64" s="69">
        <f>250000+25000</f>
        <v>275000</v>
      </c>
      <c r="BH64" s="69"/>
      <c r="BI64" s="69"/>
      <c r="BJ64" s="69"/>
      <c r="BK64" s="69"/>
      <c r="BL64" s="69"/>
      <c r="BM64" s="69"/>
      <c r="BN64" s="69"/>
      <c r="BO64" s="69"/>
      <c r="BP64" s="69"/>
      <c r="BQ64" s="69"/>
      <c r="BR64" s="69"/>
      <c r="BS64" s="29"/>
      <c r="BT64" s="29"/>
      <c r="BU64" s="29"/>
      <c r="BV64" s="29"/>
      <c r="BW64" s="29"/>
      <c r="BX64" s="29"/>
      <c r="BY64" s="29">
        <f t="shared" si="6"/>
        <v>5587509</v>
      </c>
      <c r="BZ64" s="29"/>
      <c r="CA64" s="29"/>
      <c r="CB64" s="29"/>
      <c r="CC64" s="69"/>
      <c r="CD64" s="69"/>
      <c r="CE64" s="69"/>
      <c r="CF64" s="69"/>
      <c r="CG64" s="69"/>
      <c r="CH64" s="69">
        <v>12000</v>
      </c>
      <c r="CI64" s="69"/>
      <c r="CJ64" s="69"/>
      <c r="CK64" s="69"/>
      <c r="CL64" s="69"/>
      <c r="CM64" s="69"/>
      <c r="CN64" s="69"/>
      <c r="CO64" s="69"/>
      <c r="CP64" s="69"/>
      <c r="CQ64" s="69"/>
      <c r="CR64" s="69"/>
      <c r="CS64" s="69"/>
      <c r="CT64" s="29"/>
      <c r="CU64" s="29"/>
      <c r="CV64" s="29"/>
      <c r="CW64" s="29">
        <f t="shared" si="12"/>
        <v>12000</v>
      </c>
      <c r="CX64" s="69"/>
    </row>
    <row r="65" spans="1:102" ht="59.25" customHeight="1" x14ac:dyDescent="0.8">
      <c r="A65" s="12" t="s">
        <v>124</v>
      </c>
      <c r="B65" s="13" t="s">
        <v>190</v>
      </c>
      <c r="C65" s="69"/>
      <c r="D65" s="69"/>
      <c r="E65" s="69">
        <v>853000</v>
      </c>
      <c r="F65" s="69"/>
      <c r="G65" s="69"/>
      <c r="H65" s="69"/>
      <c r="I65" s="69"/>
      <c r="J65" s="69"/>
      <c r="K65" s="69"/>
      <c r="L65" s="69"/>
      <c r="M65" s="29">
        <f t="shared" si="1"/>
        <v>0</v>
      </c>
      <c r="N65" s="69"/>
      <c r="O65" s="69"/>
      <c r="P65" s="69"/>
      <c r="Q65" s="69"/>
      <c r="R65" s="69"/>
      <c r="S65" s="69"/>
      <c r="T65" s="69"/>
      <c r="U65" s="69"/>
      <c r="V65" s="69"/>
      <c r="W65" s="69"/>
      <c r="X65" s="69"/>
      <c r="Y65" s="69"/>
      <c r="Z65" s="29"/>
      <c r="AA65" s="29"/>
      <c r="AB65" s="29">
        <f t="shared" si="2"/>
        <v>0</v>
      </c>
      <c r="AC65" s="29"/>
      <c r="AD65" s="29"/>
      <c r="AE65" s="29">
        <f t="shared" si="3"/>
        <v>105809</v>
      </c>
      <c r="AF65" s="69"/>
      <c r="AG65" s="69"/>
      <c r="AH65" s="69">
        <f>108266-2457</f>
        <v>105809</v>
      </c>
      <c r="AI65" s="69"/>
      <c r="AJ65" s="69"/>
      <c r="AK65" s="69"/>
      <c r="AL65" s="69"/>
      <c r="AM65" s="29">
        <f t="shared" si="4"/>
        <v>0</v>
      </c>
      <c r="AN65" s="29"/>
      <c r="AO65" s="29"/>
      <c r="AP65" s="29">
        <f t="shared" si="5"/>
        <v>436513</v>
      </c>
      <c r="AQ65" s="69">
        <v>157374</v>
      </c>
      <c r="AR65" s="69">
        <v>216783</v>
      </c>
      <c r="AS65" s="69">
        <v>53976</v>
      </c>
      <c r="AT65" s="69">
        <v>8380</v>
      </c>
      <c r="AU65" s="69"/>
      <c r="AV65" s="69"/>
      <c r="AW65" s="69"/>
      <c r="AX65" s="69"/>
      <c r="AY65" s="69"/>
      <c r="AZ65" s="69"/>
      <c r="BA65" s="69"/>
      <c r="BB65" s="69"/>
      <c r="BC65" s="69"/>
      <c r="BD65" s="69"/>
      <c r="BE65" s="69"/>
      <c r="BF65" s="69"/>
      <c r="BG65" s="69">
        <f>10000</f>
        <v>10000</v>
      </c>
      <c r="BH65" s="69">
        <v>50000</v>
      </c>
      <c r="BI65" s="69"/>
      <c r="BJ65" s="69"/>
      <c r="BK65" s="69"/>
      <c r="BL65" s="69"/>
      <c r="BM65" s="69"/>
      <c r="BN65" s="69"/>
      <c r="BO65" s="69"/>
      <c r="BP65" s="69"/>
      <c r="BQ65" s="69"/>
      <c r="BR65" s="69"/>
      <c r="BS65" s="29"/>
      <c r="BT65" s="29"/>
      <c r="BU65" s="29"/>
      <c r="BV65" s="29"/>
      <c r="BW65" s="29"/>
      <c r="BX65" s="29"/>
      <c r="BY65" s="29">
        <f t="shared" si="6"/>
        <v>1455322</v>
      </c>
      <c r="BZ65" s="29"/>
      <c r="CA65" s="29"/>
      <c r="CB65" s="29"/>
      <c r="CC65" s="69"/>
      <c r="CD65" s="69"/>
      <c r="CE65" s="69"/>
      <c r="CF65" s="69">
        <f>15000000+10000000+33000000</f>
        <v>58000000</v>
      </c>
      <c r="CG65" s="69"/>
      <c r="CH65" s="69">
        <v>14400</v>
      </c>
      <c r="CI65" s="69"/>
      <c r="CJ65" s="69"/>
      <c r="CK65" s="69"/>
      <c r="CL65" s="69"/>
      <c r="CM65" s="69"/>
      <c r="CN65" s="69"/>
      <c r="CO65" s="69"/>
      <c r="CP65" s="69"/>
      <c r="CQ65" s="69"/>
      <c r="CR65" s="69"/>
      <c r="CS65" s="69"/>
      <c r="CT65" s="29"/>
      <c r="CU65" s="29"/>
      <c r="CV65" s="29"/>
      <c r="CW65" s="29">
        <f t="shared" si="12"/>
        <v>58014400</v>
      </c>
      <c r="CX65" s="69"/>
    </row>
    <row r="66" spans="1:102" ht="59.25" customHeight="1" x14ac:dyDescent="0.8">
      <c r="A66" s="12" t="s">
        <v>220</v>
      </c>
      <c r="B66" s="13" t="s">
        <v>221</v>
      </c>
      <c r="C66" s="69"/>
      <c r="D66" s="69"/>
      <c r="E66" s="69">
        <f>356000+363600</f>
        <v>719600</v>
      </c>
      <c r="F66" s="69"/>
      <c r="G66" s="69"/>
      <c r="H66" s="69"/>
      <c r="I66" s="69"/>
      <c r="J66" s="69"/>
      <c r="K66" s="69"/>
      <c r="L66" s="69"/>
      <c r="M66" s="29">
        <f t="shared" si="1"/>
        <v>138000</v>
      </c>
      <c r="N66" s="69"/>
      <c r="O66" s="69"/>
      <c r="P66" s="69"/>
      <c r="Q66" s="69">
        <f>138000</f>
        <v>138000</v>
      </c>
      <c r="R66" s="69"/>
      <c r="S66" s="69"/>
      <c r="T66" s="69"/>
      <c r="U66" s="69"/>
      <c r="V66" s="69"/>
      <c r="W66" s="69"/>
      <c r="X66" s="69"/>
      <c r="Y66" s="69"/>
      <c r="Z66" s="29"/>
      <c r="AA66" s="29"/>
      <c r="AB66" s="29">
        <f t="shared" si="2"/>
        <v>225938</v>
      </c>
      <c r="AC66" s="29"/>
      <c r="AD66" s="110">
        <v>225938</v>
      </c>
      <c r="AE66" s="29">
        <f t="shared" si="3"/>
        <v>30231</v>
      </c>
      <c r="AF66" s="69"/>
      <c r="AG66" s="69"/>
      <c r="AH66" s="69">
        <f>30933-702</f>
        <v>30231</v>
      </c>
      <c r="AI66" s="69"/>
      <c r="AJ66" s="69"/>
      <c r="AK66" s="69"/>
      <c r="AL66" s="69"/>
      <c r="AM66" s="29">
        <f t="shared" si="4"/>
        <v>0</v>
      </c>
      <c r="AN66" s="29"/>
      <c r="AO66" s="29"/>
      <c r="AP66" s="29">
        <f t="shared" si="5"/>
        <v>117395</v>
      </c>
      <c r="AQ66" s="69">
        <v>44964</v>
      </c>
      <c r="AR66" s="69">
        <v>32967</v>
      </c>
      <c r="AS66" s="69">
        <v>35984</v>
      </c>
      <c r="AT66" s="69">
        <v>3480</v>
      </c>
      <c r="AU66" s="69"/>
      <c r="AV66" s="69"/>
      <c r="AW66" s="69"/>
      <c r="AX66" s="69"/>
      <c r="AY66" s="69"/>
      <c r="AZ66" s="69"/>
      <c r="BA66" s="69"/>
      <c r="BB66" s="69"/>
      <c r="BC66" s="69"/>
      <c r="BD66" s="69"/>
      <c r="BE66" s="69"/>
      <c r="BF66" s="69">
        <f>800000+600000+250000</f>
        <v>1650000</v>
      </c>
      <c r="BG66" s="69">
        <v>70000</v>
      </c>
      <c r="BH66" s="69"/>
      <c r="BI66" s="69"/>
      <c r="BJ66" s="69"/>
      <c r="BK66" s="69"/>
      <c r="BL66" s="69"/>
      <c r="BM66" s="69"/>
      <c r="BN66" s="69"/>
      <c r="BO66" s="69"/>
      <c r="BP66" s="69"/>
      <c r="BQ66" s="69"/>
      <c r="BR66" s="69"/>
      <c r="BS66" s="29"/>
      <c r="BT66" s="29"/>
      <c r="BU66" s="29"/>
      <c r="BV66" s="29"/>
      <c r="BW66" s="29"/>
      <c r="BX66" s="29"/>
      <c r="BY66" s="29">
        <f t="shared" si="6"/>
        <v>2951164</v>
      </c>
      <c r="BZ66" s="29"/>
      <c r="CA66" s="29"/>
      <c r="CB66" s="29"/>
      <c r="CC66" s="69"/>
      <c r="CD66" s="69"/>
      <c r="CE66" s="69"/>
      <c r="CF66" s="69"/>
      <c r="CG66" s="69"/>
      <c r="CH66" s="69">
        <v>3468</v>
      </c>
      <c r="CI66" s="69"/>
      <c r="CJ66" s="69"/>
      <c r="CK66" s="69"/>
      <c r="CL66" s="69"/>
      <c r="CM66" s="69"/>
      <c r="CN66" s="69"/>
      <c r="CO66" s="69"/>
      <c r="CP66" s="69"/>
      <c r="CQ66" s="69"/>
      <c r="CR66" s="69"/>
      <c r="CS66" s="69"/>
      <c r="CT66" s="29"/>
      <c r="CU66" s="29"/>
      <c r="CV66" s="29"/>
      <c r="CW66" s="29">
        <f t="shared" si="12"/>
        <v>3468</v>
      </c>
      <c r="CX66" s="69"/>
    </row>
    <row r="67" spans="1:102" ht="66.75" customHeight="1" x14ac:dyDescent="0.8">
      <c r="A67" s="12" t="s">
        <v>125</v>
      </c>
      <c r="B67" s="13" t="s">
        <v>329</v>
      </c>
      <c r="C67" s="69"/>
      <c r="D67" s="69"/>
      <c r="E67" s="69">
        <v>447600</v>
      </c>
      <c r="F67" s="69"/>
      <c r="G67" s="69"/>
      <c r="H67" s="69"/>
      <c r="I67" s="69"/>
      <c r="J67" s="69"/>
      <c r="K67" s="69">
        <v>210000</v>
      </c>
      <c r="L67" s="69"/>
      <c r="M67" s="29">
        <f t="shared" si="1"/>
        <v>0</v>
      </c>
      <c r="N67" s="69"/>
      <c r="O67" s="69"/>
      <c r="P67" s="69"/>
      <c r="Q67" s="69"/>
      <c r="R67" s="69"/>
      <c r="S67" s="69"/>
      <c r="T67" s="69"/>
      <c r="U67" s="69">
        <f>60000</f>
        <v>60000</v>
      </c>
      <c r="V67" s="69"/>
      <c r="W67" s="69"/>
      <c r="X67" s="69"/>
      <c r="Y67" s="69"/>
      <c r="Z67" s="29"/>
      <c r="AA67" s="29"/>
      <c r="AB67" s="29">
        <f t="shared" si="2"/>
        <v>112969</v>
      </c>
      <c r="AC67" s="29"/>
      <c r="AD67" s="110">
        <v>112969</v>
      </c>
      <c r="AE67" s="29">
        <f t="shared" si="3"/>
        <v>45347</v>
      </c>
      <c r="AF67" s="69"/>
      <c r="AG67" s="69"/>
      <c r="AH67" s="69">
        <f>46400-1053</f>
        <v>45347</v>
      </c>
      <c r="AI67" s="69"/>
      <c r="AJ67" s="69"/>
      <c r="AK67" s="69"/>
      <c r="AL67" s="69"/>
      <c r="AM67" s="29">
        <f t="shared" si="4"/>
        <v>21427</v>
      </c>
      <c r="AN67" s="104">
        <f>61222-39795</f>
        <v>21427</v>
      </c>
      <c r="AO67" s="29"/>
      <c r="AP67" s="29">
        <f t="shared" si="5"/>
        <v>157459</v>
      </c>
      <c r="AQ67" s="69">
        <v>67446</v>
      </c>
      <c r="AR67" s="69">
        <v>50949</v>
      </c>
      <c r="AS67" s="69">
        <v>35984</v>
      </c>
      <c r="AT67" s="69">
        <v>3080</v>
      </c>
      <c r="AU67" s="69"/>
      <c r="AV67" s="69"/>
      <c r="AW67" s="69"/>
      <c r="AX67" s="69"/>
      <c r="AY67" s="69"/>
      <c r="AZ67" s="69"/>
      <c r="BA67" s="69"/>
      <c r="BB67" s="69"/>
      <c r="BC67" s="69"/>
      <c r="BD67" s="69"/>
      <c r="BE67" s="69"/>
      <c r="BF67" s="69"/>
      <c r="BG67" s="69">
        <v>50000</v>
      </c>
      <c r="BH67" s="69"/>
      <c r="BI67" s="69"/>
      <c r="BJ67" s="69"/>
      <c r="BK67" s="69"/>
      <c r="BL67" s="69"/>
      <c r="BM67" s="69"/>
      <c r="BN67" s="69"/>
      <c r="BO67" s="69"/>
      <c r="BP67" s="69"/>
      <c r="BQ67" s="69"/>
      <c r="BR67" s="69"/>
      <c r="BS67" s="29"/>
      <c r="BT67" s="29"/>
      <c r="BU67" s="29"/>
      <c r="BV67" s="29"/>
      <c r="BW67" s="29"/>
      <c r="BX67" s="29"/>
      <c r="BY67" s="29">
        <f t="shared" si="6"/>
        <v>1104802</v>
      </c>
      <c r="BZ67" s="29"/>
      <c r="CA67" s="29"/>
      <c r="CB67" s="29"/>
      <c r="CC67" s="69"/>
      <c r="CD67" s="69"/>
      <c r="CE67" s="69"/>
      <c r="CF67" s="69"/>
      <c r="CG67" s="69"/>
      <c r="CH67" s="69">
        <v>5100</v>
      </c>
      <c r="CI67" s="69"/>
      <c r="CJ67" s="69"/>
      <c r="CK67" s="69"/>
      <c r="CL67" s="69"/>
      <c r="CM67" s="69"/>
      <c r="CN67" s="69"/>
      <c r="CO67" s="69"/>
      <c r="CP67" s="69"/>
      <c r="CQ67" s="69"/>
      <c r="CR67" s="69"/>
      <c r="CS67" s="69"/>
      <c r="CT67" s="29"/>
      <c r="CU67" s="29"/>
      <c r="CV67" s="29"/>
      <c r="CW67" s="29">
        <f t="shared" si="12"/>
        <v>5100</v>
      </c>
      <c r="CX67" s="69"/>
    </row>
    <row r="68" spans="1:102" ht="63" customHeight="1" x14ac:dyDescent="0.8">
      <c r="A68" s="12" t="s">
        <v>126</v>
      </c>
      <c r="B68" s="13" t="s">
        <v>127</v>
      </c>
      <c r="C68" s="69"/>
      <c r="D68" s="69"/>
      <c r="E68" s="69">
        <f>896000+915100</f>
        <v>1811100</v>
      </c>
      <c r="F68" s="69"/>
      <c r="G68" s="69"/>
      <c r="H68" s="69"/>
      <c r="I68" s="69"/>
      <c r="J68" s="69">
        <f>3751</f>
        <v>3751</v>
      </c>
      <c r="K68" s="69"/>
      <c r="L68" s="69"/>
      <c r="M68" s="29">
        <f t="shared" si="1"/>
        <v>0</v>
      </c>
      <c r="N68" s="69"/>
      <c r="O68" s="69"/>
      <c r="P68" s="69"/>
      <c r="Q68" s="69"/>
      <c r="R68" s="69"/>
      <c r="S68" s="69"/>
      <c r="T68" s="69"/>
      <c r="U68" s="95">
        <f>109534+5000</f>
        <v>114534</v>
      </c>
      <c r="V68" s="69"/>
      <c r="W68" s="69"/>
      <c r="X68" s="69"/>
      <c r="Y68" s="69"/>
      <c r="Z68" s="29">
        <f>500000</f>
        <v>500000</v>
      </c>
      <c r="AA68" s="29"/>
      <c r="AB68" s="29">
        <f t="shared" si="2"/>
        <v>112969</v>
      </c>
      <c r="AC68" s="29"/>
      <c r="AD68" s="110">
        <v>112969</v>
      </c>
      <c r="AE68" s="29">
        <f t="shared" si="3"/>
        <v>60462</v>
      </c>
      <c r="AF68" s="69"/>
      <c r="AG68" s="69"/>
      <c r="AH68" s="69">
        <f>61866-1404</f>
        <v>60462</v>
      </c>
      <c r="AI68" s="69"/>
      <c r="AJ68" s="69"/>
      <c r="AK68" s="69"/>
      <c r="AL68" s="69"/>
      <c r="AM68" s="29">
        <f t="shared" si="4"/>
        <v>0</v>
      </c>
      <c r="AN68" s="29"/>
      <c r="AO68" s="29"/>
      <c r="AP68" s="29">
        <f t="shared" si="5"/>
        <v>182563</v>
      </c>
      <c r="AQ68" s="69">
        <v>89928</v>
      </c>
      <c r="AR68" s="69">
        <v>48951</v>
      </c>
      <c r="AS68" s="69">
        <v>35984</v>
      </c>
      <c r="AT68" s="69">
        <v>7700</v>
      </c>
      <c r="AU68" s="69"/>
      <c r="AV68" s="69"/>
      <c r="AW68" s="69"/>
      <c r="AX68" s="69"/>
      <c r="AY68" s="69"/>
      <c r="AZ68" s="69"/>
      <c r="BA68" s="69"/>
      <c r="BB68" s="69"/>
      <c r="BC68" s="69"/>
      <c r="BD68" s="69"/>
      <c r="BE68" s="69"/>
      <c r="BF68" s="69"/>
      <c r="BG68" s="69">
        <v>50000</v>
      </c>
      <c r="BH68" s="69"/>
      <c r="BI68" s="69"/>
      <c r="BJ68" s="69"/>
      <c r="BK68" s="69"/>
      <c r="BL68" s="69"/>
      <c r="BM68" s="69"/>
      <c r="BN68" s="69"/>
      <c r="BO68" s="69"/>
      <c r="BP68" s="69"/>
      <c r="BQ68" s="69"/>
      <c r="BR68" s="69"/>
      <c r="BS68" s="29"/>
      <c r="BT68" s="29"/>
      <c r="BU68" s="29"/>
      <c r="BV68" s="29"/>
      <c r="BW68" s="29"/>
      <c r="BX68" s="29"/>
      <c r="BY68" s="29">
        <f t="shared" si="6"/>
        <v>2835379</v>
      </c>
      <c r="BZ68" s="29"/>
      <c r="CA68" s="29"/>
      <c r="CB68" s="29"/>
      <c r="CC68" s="69"/>
      <c r="CD68" s="69">
        <v>350000</v>
      </c>
      <c r="CE68" s="69"/>
      <c r="CF68" s="69"/>
      <c r="CG68" s="69"/>
      <c r="CH68" s="69">
        <f>7000-1200</f>
        <v>5800</v>
      </c>
      <c r="CI68" s="69"/>
      <c r="CJ68" s="69"/>
      <c r="CK68" s="69"/>
      <c r="CL68" s="69"/>
      <c r="CM68" s="69"/>
      <c r="CN68" s="69"/>
      <c r="CO68" s="69"/>
      <c r="CP68" s="69"/>
      <c r="CQ68" s="69"/>
      <c r="CR68" s="69"/>
      <c r="CS68" s="69"/>
      <c r="CT68" s="29"/>
      <c r="CU68" s="29"/>
      <c r="CV68" s="29"/>
      <c r="CW68" s="29">
        <f t="shared" si="12"/>
        <v>355800</v>
      </c>
      <c r="CX68" s="69"/>
    </row>
    <row r="69" spans="1:102" ht="63" customHeight="1" x14ac:dyDescent="0.8">
      <c r="A69" s="12" t="s">
        <v>128</v>
      </c>
      <c r="B69" s="13" t="s">
        <v>129</v>
      </c>
      <c r="C69" s="69"/>
      <c r="D69" s="69"/>
      <c r="E69" s="69">
        <f>1692700+1728800</f>
        <v>3421500</v>
      </c>
      <c r="F69" s="69"/>
      <c r="G69" s="69"/>
      <c r="H69" s="69"/>
      <c r="I69" s="69"/>
      <c r="J69" s="69">
        <f>1093700</f>
        <v>1093700</v>
      </c>
      <c r="K69" s="69"/>
      <c r="L69" s="69"/>
      <c r="M69" s="29">
        <f t="shared" si="1"/>
        <v>166200</v>
      </c>
      <c r="N69" s="69"/>
      <c r="O69" s="69"/>
      <c r="P69" s="69"/>
      <c r="Q69" s="69">
        <f>166200</f>
        <v>166200</v>
      </c>
      <c r="R69" s="69"/>
      <c r="S69" s="69">
        <f>734624+61219+122438</f>
        <v>918281</v>
      </c>
      <c r="T69" s="69">
        <f>110777</f>
        <v>110777</v>
      </c>
      <c r="U69" s="69"/>
      <c r="V69" s="69"/>
      <c r="W69" s="69"/>
      <c r="X69" s="69"/>
      <c r="Y69" s="69"/>
      <c r="Z69" s="29"/>
      <c r="AA69" s="29"/>
      <c r="AB69" s="29">
        <f t="shared" si="2"/>
        <v>451876</v>
      </c>
      <c r="AC69" s="29"/>
      <c r="AD69" s="110">
        <v>451876</v>
      </c>
      <c r="AE69" s="29">
        <f t="shared" si="3"/>
        <v>1490655</v>
      </c>
      <c r="AF69" s="69"/>
      <c r="AG69" s="69">
        <f>1339500</f>
        <v>1339500</v>
      </c>
      <c r="AH69" s="69">
        <f>154665-3510</f>
        <v>151155</v>
      </c>
      <c r="AI69" s="69"/>
      <c r="AJ69" s="69"/>
      <c r="AK69" s="69"/>
      <c r="AL69" s="69"/>
      <c r="AM69" s="29">
        <f t="shared" si="4"/>
        <v>183666</v>
      </c>
      <c r="AN69" s="29">
        <v>183666</v>
      </c>
      <c r="AO69" s="29"/>
      <c r="AP69" s="29">
        <f t="shared" si="5"/>
        <v>563425</v>
      </c>
      <c r="AQ69" s="69">
        <v>224820</v>
      </c>
      <c r="AR69" s="69">
        <v>198801</v>
      </c>
      <c r="AS69" s="69">
        <v>125944</v>
      </c>
      <c r="AT69" s="69">
        <v>13860</v>
      </c>
      <c r="AU69" s="69"/>
      <c r="AV69" s="69"/>
      <c r="AW69" s="69"/>
      <c r="AX69" s="69"/>
      <c r="AY69" s="69"/>
      <c r="AZ69" s="69"/>
      <c r="BA69" s="69"/>
      <c r="BB69" s="69"/>
      <c r="BC69" s="69"/>
      <c r="BD69" s="69"/>
      <c r="BE69" s="69"/>
      <c r="BF69" s="69"/>
      <c r="BG69" s="69">
        <v>50000</v>
      </c>
      <c r="BH69" s="69"/>
      <c r="BI69" s="69"/>
      <c r="BJ69" s="69"/>
      <c r="BK69" s="69"/>
      <c r="BL69" s="69"/>
      <c r="BM69" s="69"/>
      <c r="BN69" s="69"/>
      <c r="BO69" s="69"/>
      <c r="BP69" s="69"/>
      <c r="BQ69" s="69"/>
      <c r="BR69" s="69"/>
      <c r="BS69" s="29"/>
      <c r="BT69" s="29"/>
      <c r="BU69" s="29"/>
      <c r="BV69" s="29"/>
      <c r="BW69" s="29"/>
      <c r="BX69" s="29">
        <v>250000</v>
      </c>
      <c r="BY69" s="29">
        <f t="shared" si="6"/>
        <v>8700080</v>
      </c>
      <c r="BZ69" s="29"/>
      <c r="CA69" s="29"/>
      <c r="CB69" s="29"/>
      <c r="CC69" s="69"/>
      <c r="CD69" s="69"/>
      <c r="CE69" s="69"/>
      <c r="CF69" s="69">
        <v>2000000</v>
      </c>
      <c r="CG69" s="69"/>
      <c r="CH69" s="69">
        <v>16700</v>
      </c>
      <c r="CI69" s="69"/>
      <c r="CJ69" s="69"/>
      <c r="CK69" s="69"/>
      <c r="CL69" s="69"/>
      <c r="CM69" s="69"/>
      <c r="CN69" s="69"/>
      <c r="CO69" s="69"/>
      <c r="CP69" s="69"/>
      <c r="CQ69" s="69"/>
      <c r="CR69" s="69"/>
      <c r="CS69" s="69"/>
      <c r="CT69" s="29"/>
      <c r="CU69" s="29"/>
      <c r="CV69" s="29"/>
      <c r="CW69" s="29">
        <f t="shared" si="12"/>
        <v>2016700</v>
      </c>
      <c r="CX69" s="69"/>
    </row>
    <row r="70" spans="1:102" ht="63" customHeight="1" x14ac:dyDescent="0.8">
      <c r="A70" s="12" t="s">
        <v>193</v>
      </c>
      <c r="B70" s="13" t="s">
        <v>194</v>
      </c>
      <c r="C70" s="69"/>
      <c r="D70" s="69"/>
      <c r="E70" s="69">
        <f>421200+430200</f>
        <v>851400</v>
      </c>
      <c r="F70" s="69"/>
      <c r="G70" s="69"/>
      <c r="H70" s="69"/>
      <c r="I70" s="69"/>
      <c r="J70" s="69"/>
      <c r="K70" s="69"/>
      <c r="L70" s="69"/>
      <c r="M70" s="29">
        <f t="shared" si="1"/>
        <v>0</v>
      </c>
      <c r="N70" s="69"/>
      <c r="O70" s="69"/>
      <c r="P70" s="69"/>
      <c r="Q70" s="69"/>
      <c r="R70" s="69"/>
      <c r="S70" s="69"/>
      <c r="T70" s="69"/>
      <c r="U70" s="69"/>
      <c r="V70" s="69"/>
      <c r="W70" s="69"/>
      <c r="X70" s="69"/>
      <c r="Y70" s="69"/>
      <c r="Z70" s="29"/>
      <c r="AA70" s="29"/>
      <c r="AB70" s="29">
        <f t="shared" si="2"/>
        <v>0</v>
      </c>
      <c r="AC70" s="29"/>
      <c r="AD70" s="29"/>
      <c r="AE70" s="29">
        <f t="shared" si="3"/>
        <v>30231</v>
      </c>
      <c r="AF70" s="69"/>
      <c r="AG70" s="69"/>
      <c r="AH70" s="69">
        <f>30933-702</f>
        <v>30231</v>
      </c>
      <c r="AI70" s="69"/>
      <c r="AJ70" s="69"/>
      <c r="AK70" s="69"/>
      <c r="AL70" s="69"/>
      <c r="AM70" s="29">
        <f t="shared" si="4"/>
        <v>0</v>
      </c>
      <c r="AN70" s="29"/>
      <c r="AO70" s="29"/>
      <c r="AP70" s="29">
        <f t="shared" si="5"/>
        <v>123530</v>
      </c>
      <c r="AQ70" s="69">
        <v>44964</v>
      </c>
      <c r="AR70" s="69">
        <v>37962</v>
      </c>
      <c r="AS70" s="69">
        <v>35984</v>
      </c>
      <c r="AT70" s="69">
        <v>4620</v>
      </c>
      <c r="AU70" s="69"/>
      <c r="AV70" s="69"/>
      <c r="AW70" s="69"/>
      <c r="AX70" s="69"/>
      <c r="AY70" s="69"/>
      <c r="AZ70" s="69"/>
      <c r="BA70" s="69"/>
      <c r="BB70" s="69"/>
      <c r="BC70" s="69"/>
      <c r="BD70" s="69"/>
      <c r="BE70" s="69"/>
      <c r="BF70" s="69">
        <f>300000</f>
        <v>300000</v>
      </c>
      <c r="BG70" s="69"/>
      <c r="BH70" s="69"/>
      <c r="BI70" s="69"/>
      <c r="BJ70" s="69"/>
      <c r="BK70" s="69"/>
      <c r="BL70" s="69"/>
      <c r="BM70" s="69"/>
      <c r="BN70" s="69"/>
      <c r="BO70" s="69"/>
      <c r="BP70" s="69"/>
      <c r="BQ70" s="69"/>
      <c r="BR70" s="69"/>
      <c r="BS70" s="29"/>
      <c r="BT70" s="29"/>
      <c r="BU70" s="29"/>
      <c r="BV70" s="29"/>
      <c r="BW70" s="29"/>
      <c r="BX70" s="29"/>
      <c r="BY70" s="29">
        <f t="shared" si="6"/>
        <v>1305161</v>
      </c>
      <c r="BZ70" s="29"/>
      <c r="CA70" s="29"/>
      <c r="CB70" s="29"/>
      <c r="CC70" s="69"/>
      <c r="CD70" s="91">
        <f>300000-300000</f>
        <v>0</v>
      </c>
      <c r="CE70" s="69"/>
      <c r="CF70" s="69"/>
      <c r="CG70" s="69"/>
      <c r="CH70" s="69">
        <v>3900</v>
      </c>
      <c r="CI70" s="69"/>
      <c r="CJ70" s="69"/>
      <c r="CK70" s="69"/>
      <c r="CL70" s="69"/>
      <c r="CM70" s="69"/>
      <c r="CN70" s="69"/>
      <c r="CO70" s="69"/>
      <c r="CP70" s="69"/>
      <c r="CQ70" s="69"/>
      <c r="CR70" s="69"/>
      <c r="CS70" s="69"/>
      <c r="CT70" s="29"/>
      <c r="CU70" s="29"/>
      <c r="CV70" s="29"/>
      <c r="CW70" s="29">
        <f t="shared" si="12"/>
        <v>3900</v>
      </c>
      <c r="CX70" s="69"/>
    </row>
    <row r="71" spans="1:102" ht="59.25" customHeight="1" x14ac:dyDescent="0.8">
      <c r="A71" s="12" t="s">
        <v>130</v>
      </c>
      <c r="B71" s="13" t="s">
        <v>131</v>
      </c>
      <c r="C71" s="69"/>
      <c r="D71" s="69"/>
      <c r="E71" s="69">
        <f>1258500+1285400</f>
        <v>2543900</v>
      </c>
      <c r="F71" s="69"/>
      <c r="G71" s="69"/>
      <c r="H71" s="69"/>
      <c r="I71" s="69"/>
      <c r="J71" s="69"/>
      <c r="K71" s="69">
        <f>380000-200000</f>
        <v>180000</v>
      </c>
      <c r="L71" s="69"/>
      <c r="M71" s="29">
        <f t="shared" si="1"/>
        <v>0</v>
      </c>
      <c r="N71" s="69"/>
      <c r="O71" s="69"/>
      <c r="P71" s="69"/>
      <c r="Q71" s="69"/>
      <c r="R71" s="69"/>
      <c r="S71" s="69"/>
      <c r="T71" s="69"/>
      <c r="U71" s="69">
        <f>124041+45290</f>
        <v>169331</v>
      </c>
      <c r="V71" s="69"/>
      <c r="W71" s="69"/>
      <c r="X71" s="69"/>
      <c r="Y71" s="69"/>
      <c r="Z71" s="29"/>
      <c r="AA71" s="29"/>
      <c r="AB71" s="29">
        <f t="shared" si="2"/>
        <v>338907</v>
      </c>
      <c r="AC71" s="29"/>
      <c r="AD71" s="110">
        <v>338907</v>
      </c>
      <c r="AE71" s="29">
        <f t="shared" si="3"/>
        <v>90693</v>
      </c>
      <c r="AF71" s="69"/>
      <c r="AG71" s="69"/>
      <c r="AH71" s="69">
        <f>92799-2106</f>
        <v>90693</v>
      </c>
      <c r="AI71" s="69"/>
      <c r="AJ71" s="69"/>
      <c r="AK71" s="69"/>
      <c r="AL71" s="69"/>
      <c r="AM71" s="29">
        <f t="shared" si="4"/>
        <v>311407.06</v>
      </c>
      <c r="AN71" s="104">
        <f>275499-170191.94</f>
        <v>105307.06</v>
      </c>
      <c r="AO71" s="29">
        <v>206100</v>
      </c>
      <c r="AP71" s="29">
        <f t="shared" si="5"/>
        <v>328904</v>
      </c>
      <c r="AQ71" s="69">
        <v>134892</v>
      </c>
      <c r="AR71" s="69">
        <v>115884</v>
      </c>
      <c r="AS71" s="69">
        <v>71968</v>
      </c>
      <c r="AT71" s="69">
        <v>6160</v>
      </c>
      <c r="AU71" s="69"/>
      <c r="AV71" s="69"/>
      <c r="AW71" s="69"/>
      <c r="AX71" s="69"/>
      <c r="AY71" s="69"/>
      <c r="AZ71" s="69"/>
      <c r="BA71" s="69"/>
      <c r="BB71" s="69"/>
      <c r="BC71" s="69"/>
      <c r="BD71" s="69"/>
      <c r="BE71" s="69"/>
      <c r="BF71" s="69"/>
      <c r="BG71" s="69">
        <v>150000</v>
      </c>
      <c r="BH71" s="69"/>
      <c r="BI71" s="69"/>
      <c r="BJ71" s="69"/>
      <c r="BK71" s="69"/>
      <c r="BL71" s="69"/>
      <c r="BM71" s="69"/>
      <c r="BN71" s="69"/>
      <c r="BO71" s="69"/>
      <c r="BP71" s="69"/>
      <c r="BQ71" s="69"/>
      <c r="BR71" s="69"/>
      <c r="BS71" s="29"/>
      <c r="BT71" s="29"/>
      <c r="BU71" s="29"/>
      <c r="BV71" s="29"/>
      <c r="BW71" s="29"/>
      <c r="BX71" s="29"/>
      <c r="BY71" s="29">
        <f t="shared" si="6"/>
        <v>4113142.0600000005</v>
      </c>
      <c r="BZ71" s="29"/>
      <c r="CA71" s="29"/>
      <c r="CB71" s="29"/>
      <c r="CC71" s="69"/>
      <c r="CD71" s="69">
        <v>1000000</v>
      </c>
      <c r="CE71" s="69"/>
      <c r="CF71" s="69"/>
      <c r="CG71" s="69"/>
      <c r="CH71" s="69">
        <f>8831</f>
        <v>8831</v>
      </c>
      <c r="CI71" s="69"/>
      <c r="CJ71" s="69"/>
      <c r="CK71" s="69"/>
      <c r="CL71" s="69"/>
      <c r="CM71" s="69"/>
      <c r="CN71" s="69"/>
      <c r="CO71" s="69"/>
      <c r="CP71" s="69"/>
      <c r="CQ71" s="69"/>
      <c r="CR71" s="69"/>
      <c r="CS71" s="69"/>
      <c r="CT71" s="29"/>
      <c r="CU71" s="29"/>
      <c r="CV71" s="29"/>
      <c r="CW71" s="29">
        <f t="shared" si="12"/>
        <v>1008831</v>
      </c>
      <c r="CX71" s="69"/>
    </row>
    <row r="72" spans="1:102" ht="63" customHeight="1" x14ac:dyDescent="0.8">
      <c r="A72" s="12" t="s">
        <v>240</v>
      </c>
      <c r="B72" s="13" t="s">
        <v>241</v>
      </c>
      <c r="C72" s="69"/>
      <c r="D72" s="69"/>
      <c r="E72" s="69">
        <f>624900+638300</f>
        <v>1263200</v>
      </c>
      <c r="F72" s="69"/>
      <c r="G72" s="69"/>
      <c r="H72" s="69"/>
      <c r="I72" s="69"/>
      <c r="J72" s="69"/>
      <c r="K72" s="69"/>
      <c r="L72" s="69"/>
      <c r="M72" s="29">
        <f t="shared" si="1"/>
        <v>0</v>
      </c>
      <c r="N72" s="69"/>
      <c r="O72" s="69"/>
      <c r="P72" s="69"/>
      <c r="Q72" s="69"/>
      <c r="R72" s="69"/>
      <c r="S72" s="69"/>
      <c r="T72" s="69"/>
      <c r="U72" s="69"/>
      <c r="V72" s="69"/>
      <c r="W72" s="69"/>
      <c r="X72" s="69"/>
      <c r="Y72" s="69"/>
      <c r="Z72" s="29"/>
      <c r="AA72" s="29"/>
      <c r="AB72" s="29">
        <f t="shared" si="2"/>
        <v>0</v>
      </c>
      <c r="AC72" s="29"/>
      <c r="AD72" s="29"/>
      <c r="AE72" s="29">
        <f t="shared" si="3"/>
        <v>1369731</v>
      </c>
      <c r="AF72" s="69"/>
      <c r="AG72" s="69">
        <v>1339500</v>
      </c>
      <c r="AH72" s="69">
        <f>30933-702</f>
        <v>30231</v>
      </c>
      <c r="AI72" s="69"/>
      <c r="AJ72" s="69"/>
      <c r="AK72" s="69"/>
      <c r="AL72" s="69"/>
      <c r="AM72" s="29">
        <f t="shared" si="4"/>
        <v>0</v>
      </c>
      <c r="AN72" s="29"/>
      <c r="AO72" s="29"/>
      <c r="AP72" s="29">
        <f t="shared" si="5"/>
        <v>115477</v>
      </c>
      <c r="AQ72" s="69">
        <v>44964</v>
      </c>
      <c r="AR72" s="69">
        <v>30969</v>
      </c>
      <c r="AS72" s="69">
        <v>35984</v>
      </c>
      <c r="AT72" s="69">
        <v>3560</v>
      </c>
      <c r="AU72" s="69"/>
      <c r="AV72" s="69"/>
      <c r="AW72" s="69"/>
      <c r="AX72" s="69"/>
      <c r="AY72" s="69"/>
      <c r="AZ72" s="69"/>
      <c r="BA72" s="69"/>
      <c r="BB72" s="69"/>
      <c r="BC72" s="69"/>
      <c r="BD72" s="69"/>
      <c r="BE72" s="69"/>
      <c r="BF72" s="69">
        <f>280000</f>
        <v>280000</v>
      </c>
      <c r="BG72" s="69"/>
      <c r="BH72" s="69"/>
      <c r="BI72" s="69"/>
      <c r="BJ72" s="69"/>
      <c r="BK72" s="69"/>
      <c r="BL72" s="69"/>
      <c r="BM72" s="69"/>
      <c r="BN72" s="69"/>
      <c r="BO72" s="69"/>
      <c r="BP72" s="69"/>
      <c r="BQ72" s="69"/>
      <c r="BR72" s="69"/>
      <c r="BS72" s="29"/>
      <c r="BT72" s="29"/>
      <c r="BU72" s="29"/>
      <c r="BV72" s="29"/>
      <c r="BW72" s="29"/>
      <c r="BX72" s="29"/>
      <c r="BY72" s="29">
        <f t="shared" si="6"/>
        <v>3028408</v>
      </c>
      <c r="BZ72" s="29"/>
      <c r="CA72" s="29"/>
      <c r="CB72" s="29"/>
      <c r="CC72" s="69"/>
      <c r="CD72" s="69"/>
      <c r="CE72" s="69"/>
      <c r="CF72" s="69"/>
      <c r="CG72" s="69"/>
      <c r="CH72" s="69">
        <v>3500</v>
      </c>
      <c r="CI72" s="69"/>
      <c r="CJ72" s="69"/>
      <c r="CK72" s="69"/>
      <c r="CL72" s="69"/>
      <c r="CM72" s="69"/>
      <c r="CN72" s="69"/>
      <c r="CO72" s="69"/>
      <c r="CP72" s="69"/>
      <c r="CQ72" s="69"/>
      <c r="CR72" s="69"/>
      <c r="CS72" s="69"/>
      <c r="CT72" s="29"/>
      <c r="CU72" s="29"/>
      <c r="CV72" s="29"/>
      <c r="CW72" s="29">
        <f t="shared" si="12"/>
        <v>3500</v>
      </c>
      <c r="CX72" s="69"/>
    </row>
    <row r="73" spans="1:102" ht="66.75" customHeight="1" x14ac:dyDescent="0.8">
      <c r="A73" s="12" t="s">
        <v>238</v>
      </c>
      <c r="B73" s="13" t="s">
        <v>239</v>
      </c>
      <c r="C73" s="69"/>
      <c r="D73" s="69"/>
      <c r="E73" s="69">
        <f>2353400+2403700</f>
        <v>4757100</v>
      </c>
      <c r="F73" s="69"/>
      <c r="G73" s="69"/>
      <c r="H73" s="69"/>
      <c r="I73" s="69"/>
      <c r="J73" s="69">
        <f>1037100</f>
        <v>1037100</v>
      </c>
      <c r="K73" s="69"/>
      <c r="L73" s="69"/>
      <c r="M73" s="29">
        <f t="shared" si="1"/>
        <v>0</v>
      </c>
      <c r="N73" s="69"/>
      <c r="O73" s="69"/>
      <c r="P73" s="69"/>
      <c r="Q73" s="69"/>
      <c r="R73" s="69"/>
      <c r="S73" s="69"/>
      <c r="T73" s="69"/>
      <c r="U73" s="69"/>
      <c r="V73" s="69"/>
      <c r="W73" s="69"/>
      <c r="X73" s="69"/>
      <c r="Y73" s="69">
        <f>330000</f>
        <v>330000</v>
      </c>
      <c r="Z73" s="29"/>
      <c r="AA73" s="29"/>
      <c r="AB73" s="29">
        <f t="shared" si="2"/>
        <v>112969</v>
      </c>
      <c r="AC73" s="29"/>
      <c r="AD73" s="110">
        <v>112969</v>
      </c>
      <c r="AE73" s="29">
        <f t="shared" si="3"/>
        <v>1505771</v>
      </c>
      <c r="AF73" s="69"/>
      <c r="AG73" s="69">
        <v>1339500</v>
      </c>
      <c r="AH73" s="69">
        <f>170132-3861</f>
        <v>166271</v>
      </c>
      <c r="AI73" s="69"/>
      <c r="AJ73" s="69"/>
      <c r="AK73" s="69"/>
      <c r="AL73" s="69"/>
      <c r="AM73" s="29">
        <f t="shared" si="4"/>
        <v>489521</v>
      </c>
      <c r="AN73" s="104">
        <f>336721-53300</f>
        <v>283421</v>
      </c>
      <c r="AO73" s="29">
        <v>206100</v>
      </c>
      <c r="AP73" s="29">
        <f t="shared" si="5"/>
        <v>539501</v>
      </c>
      <c r="AQ73" s="69">
        <v>247302</v>
      </c>
      <c r="AR73" s="69">
        <v>180819</v>
      </c>
      <c r="AS73" s="69">
        <v>89960</v>
      </c>
      <c r="AT73" s="69">
        <v>21420</v>
      </c>
      <c r="AU73" s="69"/>
      <c r="AV73" s="69"/>
      <c r="AW73" s="69"/>
      <c r="AX73" s="69"/>
      <c r="AY73" s="69"/>
      <c r="AZ73" s="69"/>
      <c r="BA73" s="69"/>
      <c r="BB73" s="69"/>
      <c r="BC73" s="69"/>
      <c r="BD73" s="69"/>
      <c r="BE73" s="69"/>
      <c r="BF73" s="69"/>
      <c r="BG73" s="69"/>
      <c r="BH73" s="69"/>
      <c r="BI73" s="69"/>
      <c r="BJ73" s="69"/>
      <c r="BK73" s="69"/>
      <c r="BL73" s="69">
        <v>550000</v>
      </c>
      <c r="BM73" s="69"/>
      <c r="BN73" s="69"/>
      <c r="BO73" s="69"/>
      <c r="BP73" s="69"/>
      <c r="BQ73" s="69"/>
      <c r="BR73" s="69"/>
      <c r="BS73" s="29"/>
      <c r="BT73" s="29"/>
      <c r="BU73" s="29"/>
      <c r="BV73" s="29"/>
      <c r="BW73" s="29"/>
      <c r="BX73" s="29"/>
      <c r="BY73" s="29">
        <f t="shared" si="6"/>
        <v>9321962</v>
      </c>
      <c r="BZ73" s="29"/>
      <c r="CA73" s="29"/>
      <c r="CB73" s="29"/>
      <c r="CC73" s="69"/>
      <c r="CD73" s="69"/>
      <c r="CE73" s="69"/>
      <c r="CF73" s="69"/>
      <c r="CG73" s="69"/>
      <c r="CH73" s="69">
        <v>17200</v>
      </c>
      <c r="CI73" s="69"/>
      <c r="CJ73" s="69"/>
      <c r="CK73" s="69"/>
      <c r="CL73" s="69"/>
      <c r="CM73" s="69"/>
      <c r="CN73" s="69"/>
      <c r="CO73" s="69"/>
      <c r="CP73" s="69"/>
      <c r="CQ73" s="69"/>
      <c r="CR73" s="69"/>
      <c r="CS73" s="69"/>
      <c r="CT73" s="29"/>
      <c r="CU73" s="29">
        <v>1500000</v>
      </c>
      <c r="CV73" s="29"/>
      <c r="CW73" s="29">
        <f t="shared" si="12"/>
        <v>1517200</v>
      </c>
      <c r="CX73" s="69"/>
    </row>
    <row r="74" spans="1:102" ht="59.25" customHeight="1" x14ac:dyDescent="0.8">
      <c r="A74" s="12" t="s">
        <v>132</v>
      </c>
      <c r="B74" s="13" t="s">
        <v>133</v>
      </c>
      <c r="C74" s="69"/>
      <c r="D74" s="69"/>
      <c r="E74" s="69">
        <f>431300+440500</f>
        <v>871800</v>
      </c>
      <c r="F74" s="69"/>
      <c r="G74" s="69"/>
      <c r="H74" s="69"/>
      <c r="I74" s="69"/>
      <c r="J74" s="69"/>
      <c r="K74" s="69"/>
      <c r="L74" s="69"/>
      <c r="M74" s="29">
        <f t="shared" si="1"/>
        <v>0</v>
      </c>
      <c r="N74" s="69"/>
      <c r="O74" s="69"/>
      <c r="P74" s="69"/>
      <c r="Q74" s="69"/>
      <c r="R74" s="69"/>
      <c r="S74" s="69"/>
      <c r="T74" s="69"/>
      <c r="U74" s="69"/>
      <c r="V74" s="69"/>
      <c r="W74" s="69"/>
      <c r="X74" s="69"/>
      <c r="Y74" s="69"/>
      <c r="Z74" s="29"/>
      <c r="AA74" s="29"/>
      <c r="AB74" s="29">
        <f t="shared" si="2"/>
        <v>0</v>
      </c>
      <c r="AC74" s="29"/>
      <c r="AD74" s="29"/>
      <c r="AE74" s="29">
        <f t="shared" si="3"/>
        <v>45347</v>
      </c>
      <c r="AF74" s="69"/>
      <c r="AG74" s="69"/>
      <c r="AH74" s="69">
        <f>46400-1053</f>
        <v>45347</v>
      </c>
      <c r="AI74" s="69"/>
      <c r="AJ74" s="69"/>
      <c r="AK74" s="69"/>
      <c r="AL74" s="69"/>
      <c r="AM74" s="29">
        <f t="shared" si="4"/>
        <v>0</v>
      </c>
      <c r="AN74" s="29"/>
      <c r="AO74" s="29"/>
      <c r="AP74" s="29">
        <f t="shared" si="5"/>
        <v>159418</v>
      </c>
      <c r="AQ74" s="69">
        <v>67446</v>
      </c>
      <c r="AR74" s="69">
        <v>51948</v>
      </c>
      <c r="AS74" s="69">
        <v>35984</v>
      </c>
      <c r="AT74" s="69">
        <v>4040</v>
      </c>
      <c r="AU74" s="69"/>
      <c r="AV74" s="69"/>
      <c r="AW74" s="69"/>
      <c r="AX74" s="69"/>
      <c r="AY74" s="69"/>
      <c r="AZ74" s="69"/>
      <c r="BA74" s="69"/>
      <c r="BB74" s="69"/>
      <c r="BC74" s="69"/>
      <c r="BD74" s="69"/>
      <c r="BE74" s="69"/>
      <c r="BF74" s="69"/>
      <c r="BG74" s="69">
        <f>100000+50000</f>
        <v>150000</v>
      </c>
      <c r="BH74" s="69"/>
      <c r="BI74" s="69"/>
      <c r="BJ74" s="69"/>
      <c r="BK74" s="69"/>
      <c r="BL74" s="69"/>
      <c r="BM74" s="69"/>
      <c r="BN74" s="69"/>
      <c r="BO74" s="69"/>
      <c r="BP74" s="69"/>
      <c r="BQ74" s="69"/>
      <c r="BR74" s="69"/>
      <c r="BS74" s="29"/>
      <c r="BT74" s="29"/>
      <c r="BU74" s="29"/>
      <c r="BV74" s="29"/>
      <c r="BW74" s="29"/>
      <c r="BX74" s="29"/>
      <c r="BY74" s="29">
        <f t="shared" si="6"/>
        <v>1226565</v>
      </c>
      <c r="BZ74" s="29"/>
      <c r="CA74" s="29"/>
      <c r="CB74" s="29"/>
      <c r="CC74" s="69"/>
      <c r="CD74" s="69">
        <v>500000</v>
      </c>
      <c r="CE74" s="69"/>
      <c r="CF74" s="69">
        <v>100000</v>
      </c>
      <c r="CG74" s="69"/>
      <c r="CH74" s="69">
        <v>3200</v>
      </c>
      <c r="CI74" s="69"/>
      <c r="CJ74" s="69"/>
      <c r="CK74" s="69"/>
      <c r="CL74" s="69"/>
      <c r="CM74" s="69"/>
      <c r="CN74" s="69"/>
      <c r="CO74" s="69"/>
      <c r="CP74" s="69"/>
      <c r="CQ74" s="69"/>
      <c r="CR74" s="69"/>
      <c r="CS74" s="69"/>
      <c r="CT74" s="29"/>
      <c r="CU74" s="29"/>
      <c r="CV74" s="29"/>
      <c r="CW74" s="29">
        <f t="shared" si="12"/>
        <v>603200</v>
      </c>
      <c r="CX74" s="69"/>
    </row>
    <row r="75" spans="1:102" ht="59.25" customHeight="1" x14ac:dyDescent="0.8">
      <c r="A75" s="12" t="s">
        <v>227</v>
      </c>
      <c r="B75" s="13" t="s">
        <v>228</v>
      </c>
      <c r="C75" s="69"/>
      <c r="D75" s="69"/>
      <c r="E75" s="69">
        <f>1208800+1234700</f>
        <v>2443500</v>
      </c>
      <c r="F75" s="69"/>
      <c r="G75" s="69"/>
      <c r="H75" s="69"/>
      <c r="I75" s="69"/>
      <c r="J75" s="69">
        <f>660100</f>
        <v>660100</v>
      </c>
      <c r="K75" s="69"/>
      <c r="L75" s="69"/>
      <c r="M75" s="29">
        <f t="shared" si="1"/>
        <v>121400</v>
      </c>
      <c r="N75" s="69"/>
      <c r="O75" s="69"/>
      <c r="P75" s="69"/>
      <c r="Q75" s="69">
        <f>121400</f>
        <v>121400</v>
      </c>
      <c r="R75" s="69"/>
      <c r="S75" s="69">
        <f>390066-52000+32506+65012</f>
        <v>435584</v>
      </c>
      <c r="T75" s="69">
        <f>58820</f>
        <v>58820</v>
      </c>
      <c r="U75" s="69"/>
      <c r="V75" s="69"/>
      <c r="W75" s="69"/>
      <c r="X75" s="69"/>
      <c r="Y75" s="69"/>
      <c r="Z75" s="29">
        <f>500000-500000</f>
        <v>0</v>
      </c>
      <c r="AA75" s="29"/>
      <c r="AB75" s="29">
        <f t="shared" si="2"/>
        <v>0</v>
      </c>
      <c r="AC75" s="29"/>
      <c r="AD75" s="29"/>
      <c r="AE75" s="29">
        <f t="shared" si="3"/>
        <v>4975234</v>
      </c>
      <c r="AF75" s="69">
        <v>3545041</v>
      </c>
      <c r="AG75" s="69">
        <f>1339500</f>
        <v>1339500</v>
      </c>
      <c r="AH75" s="69">
        <f>92799-2106</f>
        <v>90693</v>
      </c>
      <c r="AI75" s="69"/>
      <c r="AJ75" s="69"/>
      <c r="AK75" s="69"/>
      <c r="AL75" s="69"/>
      <c r="AM75" s="29">
        <f t="shared" si="4"/>
        <v>0</v>
      </c>
      <c r="AN75" s="29"/>
      <c r="AO75" s="29"/>
      <c r="AP75" s="29">
        <f t="shared" si="5"/>
        <v>265842</v>
      </c>
      <c r="AQ75" s="69">
        <v>134892</v>
      </c>
      <c r="AR75" s="69">
        <v>101898</v>
      </c>
      <c r="AS75" s="69">
        <v>17992</v>
      </c>
      <c r="AT75" s="69">
        <v>11060</v>
      </c>
      <c r="AU75" s="69"/>
      <c r="AV75" s="69"/>
      <c r="AW75" s="69"/>
      <c r="AX75" s="69"/>
      <c r="AY75" s="69"/>
      <c r="AZ75" s="69"/>
      <c r="BA75" s="69"/>
      <c r="BB75" s="69"/>
      <c r="BC75" s="69"/>
      <c r="BD75" s="69"/>
      <c r="BE75" s="69"/>
      <c r="BF75" s="69"/>
      <c r="BG75" s="69">
        <f>40000</f>
        <v>40000</v>
      </c>
      <c r="BH75" s="69"/>
      <c r="BI75" s="69"/>
      <c r="BJ75" s="69"/>
      <c r="BK75" s="69"/>
      <c r="BL75" s="69"/>
      <c r="BM75" s="69"/>
      <c r="BN75" s="69"/>
      <c r="BO75" s="69"/>
      <c r="BP75" s="69"/>
      <c r="BQ75" s="69"/>
      <c r="BR75" s="69"/>
      <c r="BS75" s="29"/>
      <c r="BT75" s="29"/>
      <c r="BU75" s="29"/>
      <c r="BV75" s="29"/>
      <c r="BW75" s="29"/>
      <c r="BX75" s="29"/>
      <c r="BY75" s="29">
        <f t="shared" si="6"/>
        <v>9000480</v>
      </c>
      <c r="BZ75" s="29"/>
      <c r="CA75" s="29"/>
      <c r="CB75" s="29"/>
      <c r="CC75" s="69"/>
      <c r="CD75" s="91">
        <f>500000-500000</f>
        <v>0</v>
      </c>
      <c r="CE75" s="69"/>
      <c r="CF75" s="69"/>
      <c r="CG75" s="69"/>
      <c r="CH75" s="69">
        <v>8300</v>
      </c>
      <c r="CI75" s="69"/>
      <c r="CJ75" s="69"/>
      <c r="CK75" s="69"/>
      <c r="CL75" s="69"/>
      <c r="CM75" s="69"/>
      <c r="CN75" s="69"/>
      <c r="CO75" s="69"/>
      <c r="CP75" s="69"/>
      <c r="CQ75" s="69"/>
      <c r="CR75" s="69"/>
      <c r="CS75" s="69"/>
      <c r="CT75" s="29"/>
      <c r="CU75" s="29"/>
      <c r="CV75" s="29"/>
      <c r="CW75" s="29">
        <f t="shared" si="12"/>
        <v>8300</v>
      </c>
      <c r="CX75" s="69"/>
    </row>
    <row r="76" spans="1:102" ht="63" customHeight="1" x14ac:dyDescent="0.8">
      <c r="A76" s="12" t="s">
        <v>195</v>
      </c>
      <c r="B76" s="13" t="s">
        <v>196</v>
      </c>
      <c r="C76" s="69"/>
      <c r="D76" s="69"/>
      <c r="E76" s="69">
        <f>1934300+1975600</f>
        <v>3909900</v>
      </c>
      <c r="F76" s="69"/>
      <c r="G76" s="69"/>
      <c r="H76" s="69"/>
      <c r="I76" s="69"/>
      <c r="J76" s="69">
        <f>500000+766922</f>
        <v>1266922</v>
      </c>
      <c r="K76" s="69">
        <v>380000</v>
      </c>
      <c r="L76" s="69"/>
      <c r="M76" s="29">
        <f t="shared" si="1"/>
        <v>0</v>
      </c>
      <c r="N76" s="69"/>
      <c r="O76" s="69"/>
      <c r="P76" s="69"/>
      <c r="Q76" s="69"/>
      <c r="R76" s="69"/>
      <c r="S76" s="69">
        <f>494084+41174+82348</f>
        <v>617606</v>
      </c>
      <c r="T76" s="69">
        <f>74505</f>
        <v>74505</v>
      </c>
      <c r="U76" s="69">
        <f>274305+85003.22+70000</f>
        <v>429308.22</v>
      </c>
      <c r="V76" s="69"/>
      <c r="W76" s="69"/>
      <c r="X76" s="69"/>
      <c r="Y76" s="69"/>
      <c r="Z76" s="29">
        <f>500000</f>
        <v>500000</v>
      </c>
      <c r="AA76" s="29"/>
      <c r="AB76" s="29">
        <f t="shared" si="2"/>
        <v>338907</v>
      </c>
      <c r="AC76" s="29"/>
      <c r="AD76" s="110">
        <v>338907</v>
      </c>
      <c r="AE76" s="29">
        <f t="shared" si="3"/>
        <v>1520886</v>
      </c>
      <c r="AF76" s="69"/>
      <c r="AG76" s="69">
        <f>1339500</f>
        <v>1339500</v>
      </c>
      <c r="AH76" s="69">
        <f>185598-4212</f>
        <v>181386</v>
      </c>
      <c r="AI76" s="69"/>
      <c r="AJ76" s="69"/>
      <c r="AK76" s="69"/>
      <c r="AL76" s="69"/>
      <c r="AM76" s="29">
        <f t="shared" si="4"/>
        <v>206100</v>
      </c>
      <c r="AN76" s="29"/>
      <c r="AO76" s="29">
        <v>206100</v>
      </c>
      <c r="AP76" s="29">
        <f t="shared" si="5"/>
        <v>585037</v>
      </c>
      <c r="AQ76" s="69">
        <v>269784</v>
      </c>
      <c r="AR76" s="69">
        <v>198801</v>
      </c>
      <c r="AS76" s="69">
        <v>107952</v>
      </c>
      <c r="AT76" s="69">
        <v>8500</v>
      </c>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29"/>
      <c r="BT76" s="29"/>
      <c r="BU76" s="29"/>
      <c r="BV76" s="29"/>
      <c r="BW76" s="29"/>
      <c r="BX76" s="29"/>
      <c r="BY76" s="29">
        <f t="shared" si="6"/>
        <v>9829171.2199999988</v>
      </c>
      <c r="BZ76" s="29"/>
      <c r="CA76" s="29"/>
      <c r="CB76" s="29"/>
      <c r="CC76" s="69"/>
      <c r="CD76" s="69"/>
      <c r="CE76" s="69"/>
      <c r="CF76" s="69"/>
      <c r="CG76" s="69"/>
      <c r="CH76" s="69">
        <v>15000</v>
      </c>
      <c r="CI76" s="69"/>
      <c r="CJ76" s="69"/>
      <c r="CK76" s="69"/>
      <c r="CL76" s="69"/>
      <c r="CM76" s="69"/>
      <c r="CN76" s="69"/>
      <c r="CO76" s="69"/>
      <c r="CP76" s="69"/>
      <c r="CQ76" s="69"/>
      <c r="CR76" s="69"/>
      <c r="CS76" s="69"/>
      <c r="CT76" s="29"/>
      <c r="CU76" s="29"/>
      <c r="CV76" s="29"/>
      <c r="CW76" s="29">
        <f t="shared" si="12"/>
        <v>15000</v>
      </c>
      <c r="CX76" s="69"/>
    </row>
    <row r="77" spans="1:102" ht="63" customHeight="1" x14ac:dyDescent="0.8">
      <c r="A77" s="12" t="s">
        <v>134</v>
      </c>
      <c r="B77" s="13" t="s">
        <v>135</v>
      </c>
      <c r="C77" s="69"/>
      <c r="D77" s="69"/>
      <c r="E77" s="69">
        <f>1476900+1508500</f>
        <v>2985400</v>
      </c>
      <c r="F77" s="69"/>
      <c r="G77" s="69"/>
      <c r="H77" s="69"/>
      <c r="I77" s="69"/>
      <c r="J77" s="69">
        <f>1700000+851330</f>
        <v>2551330</v>
      </c>
      <c r="K77" s="69"/>
      <c r="L77" s="69"/>
      <c r="M77" s="29">
        <f t="shared" si="1"/>
        <v>0</v>
      </c>
      <c r="N77" s="69"/>
      <c r="O77" s="69"/>
      <c r="P77" s="69"/>
      <c r="Q77" s="69"/>
      <c r="R77" s="69"/>
      <c r="S77" s="69">
        <f>650110+54176+108352</f>
        <v>812638</v>
      </c>
      <c r="T77" s="69">
        <f>98033</f>
        <v>98033</v>
      </c>
      <c r="U77" s="69">
        <f>297452+160000</f>
        <v>457452</v>
      </c>
      <c r="V77" s="69"/>
      <c r="W77" s="69"/>
      <c r="X77" s="69"/>
      <c r="Y77" s="69">
        <f>319000</f>
        <v>319000</v>
      </c>
      <c r="Z77" s="29">
        <f>1000000</f>
        <v>1000000</v>
      </c>
      <c r="AA77" s="29"/>
      <c r="AB77" s="29">
        <f t="shared" si="2"/>
        <v>451876</v>
      </c>
      <c r="AC77" s="29"/>
      <c r="AD77" s="110">
        <v>451876</v>
      </c>
      <c r="AE77" s="29">
        <f t="shared" si="3"/>
        <v>1475540</v>
      </c>
      <c r="AF77" s="69"/>
      <c r="AG77" s="69">
        <v>1339500</v>
      </c>
      <c r="AH77" s="69">
        <f>139199-3159</f>
        <v>136040</v>
      </c>
      <c r="AI77" s="69"/>
      <c r="AJ77" s="69"/>
      <c r="AK77" s="69"/>
      <c r="AL77" s="69"/>
      <c r="AM77" s="29">
        <f t="shared" si="4"/>
        <v>227527</v>
      </c>
      <c r="AN77" s="104">
        <f>61222-39795</f>
        <v>21427</v>
      </c>
      <c r="AO77" s="29">
        <v>206100</v>
      </c>
      <c r="AP77" s="29">
        <f t="shared" si="5"/>
        <v>495672</v>
      </c>
      <c r="AQ77" s="69">
        <v>202338</v>
      </c>
      <c r="AR77" s="69">
        <v>169830</v>
      </c>
      <c r="AS77" s="69">
        <v>107952</v>
      </c>
      <c r="AT77" s="69">
        <v>15552</v>
      </c>
      <c r="AU77" s="69"/>
      <c r="AV77" s="69"/>
      <c r="AW77" s="69"/>
      <c r="AX77" s="69"/>
      <c r="AY77" s="69"/>
      <c r="AZ77" s="69"/>
      <c r="BA77" s="69"/>
      <c r="BB77" s="69"/>
      <c r="BC77" s="69"/>
      <c r="BD77" s="69"/>
      <c r="BE77" s="69"/>
      <c r="BF77" s="69">
        <f>1000000+250000+800000+1100000</f>
        <v>3150000</v>
      </c>
      <c r="BG77" s="69">
        <f>67500+50000</f>
        <v>117500</v>
      </c>
      <c r="BH77" s="69"/>
      <c r="BI77" s="69"/>
      <c r="BJ77" s="69"/>
      <c r="BK77" s="69"/>
      <c r="BL77" s="69"/>
      <c r="BM77" s="69"/>
      <c r="BN77" s="69"/>
      <c r="BO77" s="69"/>
      <c r="BP77" s="69"/>
      <c r="BQ77" s="69">
        <f>1000000</f>
        <v>1000000</v>
      </c>
      <c r="BR77" s="69">
        <f>730000</f>
        <v>730000</v>
      </c>
      <c r="BS77" s="29"/>
      <c r="BT77" s="29"/>
      <c r="BU77" s="29"/>
      <c r="BV77" s="29"/>
      <c r="BW77" s="29"/>
      <c r="BX77" s="29"/>
      <c r="BY77" s="29">
        <f t="shared" si="6"/>
        <v>15871968</v>
      </c>
      <c r="BZ77" s="29"/>
      <c r="CA77" s="29"/>
      <c r="CB77" s="29"/>
      <c r="CC77" s="69"/>
      <c r="CD77" s="69"/>
      <c r="CE77" s="69"/>
      <c r="CF77" s="69"/>
      <c r="CG77" s="69"/>
      <c r="CH77" s="69">
        <v>15100</v>
      </c>
      <c r="CI77" s="69"/>
      <c r="CJ77" s="69"/>
      <c r="CK77" s="69"/>
      <c r="CL77" s="69"/>
      <c r="CM77" s="69"/>
      <c r="CN77" s="69"/>
      <c r="CO77" s="69"/>
      <c r="CP77" s="69"/>
      <c r="CQ77" s="69"/>
      <c r="CR77" s="69"/>
      <c r="CS77" s="69"/>
      <c r="CT77" s="29"/>
      <c r="CU77" s="29"/>
      <c r="CV77" s="29"/>
      <c r="CW77" s="29">
        <f t="shared" ref="CW77:CW107" si="18">SUM(BZ77:CV77)</f>
        <v>15100</v>
      </c>
      <c r="CX77" s="69"/>
    </row>
    <row r="78" spans="1:102" ht="66.75" customHeight="1" x14ac:dyDescent="0.8">
      <c r="A78" s="12" t="s">
        <v>197</v>
      </c>
      <c r="B78" s="13" t="s">
        <v>198</v>
      </c>
      <c r="C78" s="69"/>
      <c r="D78" s="69"/>
      <c r="E78" s="69">
        <f>414000+422900</f>
        <v>836900</v>
      </c>
      <c r="F78" s="69"/>
      <c r="G78" s="69"/>
      <c r="H78" s="69"/>
      <c r="I78" s="69"/>
      <c r="J78" s="69"/>
      <c r="K78" s="69"/>
      <c r="L78" s="69"/>
      <c r="M78" s="29">
        <f t="shared" ref="M78:M113" si="19">N78+O78+P78+Q78+R78</f>
        <v>0</v>
      </c>
      <c r="N78" s="69"/>
      <c r="O78" s="69"/>
      <c r="P78" s="69"/>
      <c r="Q78" s="69"/>
      <c r="R78" s="69"/>
      <c r="S78" s="69"/>
      <c r="T78" s="69"/>
      <c r="U78" s="69"/>
      <c r="V78" s="69"/>
      <c r="W78" s="69"/>
      <c r="X78" s="69"/>
      <c r="Y78" s="69"/>
      <c r="Z78" s="29"/>
      <c r="AA78" s="29"/>
      <c r="AB78" s="29">
        <f t="shared" ref="AB78:AB112" si="20">AC78+AD78</f>
        <v>0</v>
      </c>
      <c r="AC78" s="29"/>
      <c r="AD78" s="29"/>
      <c r="AE78" s="29">
        <f t="shared" ref="AE78:AE113" si="21">AF78+AG78+AH78+AI78+AJ78+AK78+AL78</f>
        <v>30231</v>
      </c>
      <c r="AF78" s="69"/>
      <c r="AG78" s="69"/>
      <c r="AH78" s="69">
        <f>30933-702</f>
        <v>30231</v>
      </c>
      <c r="AI78" s="69"/>
      <c r="AJ78" s="69"/>
      <c r="AK78" s="69"/>
      <c r="AL78" s="69"/>
      <c r="AM78" s="29">
        <f t="shared" ref="AM78:AM112" si="22">AN78+AO78</f>
        <v>0</v>
      </c>
      <c r="AN78" s="29"/>
      <c r="AO78" s="29"/>
      <c r="AP78" s="29">
        <f t="shared" ref="AP78:AP106" si="23">AQ78+AR78+AS78+AT78</f>
        <v>112121</v>
      </c>
      <c r="AQ78" s="69">
        <v>44964</v>
      </c>
      <c r="AR78" s="69">
        <v>26973</v>
      </c>
      <c r="AS78" s="69">
        <v>35984</v>
      </c>
      <c r="AT78" s="69">
        <v>4200</v>
      </c>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29"/>
      <c r="BT78" s="29"/>
      <c r="BU78" s="29"/>
      <c r="BV78" s="29"/>
      <c r="BW78" s="29"/>
      <c r="BX78" s="29"/>
      <c r="BY78" s="29">
        <f t="shared" ref="BY78:BY113" si="24">SUM(C78:BU78)-AF78-AG78-AH78-AI78-AJ78-AK78-AL78-BB78-N78-O78-P78-AQ78-AR78-AS78-AN78-AO78-AT78+BX78+BV78+BW78-Q78-R78-BC78-AD78-AC78</f>
        <v>979252</v>
      </c>
      <c r="BZ78" s="29"/>
      <c r="CA78" s="29"/>
      <c r="CB78" s="29"/>
      <c r="CC78" s="69"/>
      <c r="CD78" s="69"/>
      <c r="CE78" s="69"/>
      <c r="CF78" s="69"/>
      <c r="CG78" s="69"/>
      <c r="CH78" s="69">
        <v>2500</v>
      </c>
      <c r="CI78" s="69"/>
      <c r="CJ78" s="69"/>
      <c r="CK78" s="69"/>
      <c r="CL78" s="69"/>
      <c r="CM78" s="69"/>
      <c r="CN78" s="69"/>
      <c r="CO78" s="69"/>
      <c r="CP78" s="69"/>
      <c r="CQ78" s="69"/>
      <c r="CR78" s="69"/>
      <c r="CS78" s="69"/>
      <c r="CT78" s="29"/>
      <c r="CU78" s="29"/>
      <c r="CV78" s="29"/>
      <c r="CW78" s="29">
        <f t="shared" si="18"/>
        <v>2500</v>
      </c>
      <c r="CX78" s="69"/>
    </row>
    <row r="79" spans="1:102" ht="66.75" customHeight="1" x14ac:dyDescent="0.8">
      <c r="A79" s="12" t="s">
        <v>136</v>
      </c>
      <c r="B79" s="13" t="s">
        <v>137</v>
      </c>
      <c r="C79" s="69"/>
      <c r="D79" s="69"/>
      <c r="E79" s="69">
        <f>625000+638300</f>
        <v>1263300</v>
      </c>
      <c r="F79" s="69"/>
      <c r="G79" s="69"/>
      <c r="H79" s="69"/>
      <c r="I79" s="69"/>
      <c r="J79" s="69"/>
      <c r="K79" s="69"/>
      <c r="L79" s="69"/>
      <c r="M79" s="29">
        <f t="shared" si="19"/>
        <v>0</v>
      </c>
      <c r="N79" s="69"/>
      <c r="O79" s="69"/>
      <c r="P79" s="69"/>
      <c r="Q79" s="69"/>
      <c r="R79" s="69"/>
      <c r="S79" s="69"/>
      <c r="T79" s="69"/>
      <c r="U79" s="69"/>
      <c r="V79" s="69"/>
      <c r="W79" s="69"/>
      <c r="X79" s="69"/>
      <c r="Y79" s="69"/>
      <c r="Z79" s="29"/>
      <c r="AA79" s="29"/>
      <c r="AB79" s="29">
        <f t="shared" si="20"/>
        <v>0</v>
      </c>
      <c r="AC79" s="29"/>
      <c r="AD79" s="29"/>
      <c r="AE79" s="29">
        <f t="shared" si="21"/>
        <v>45347</v>
      </c>
      <c r="AF79" s="69"/>
      <c r="AG79" s="69"/>
      <c r="AH79" s="69">
        <f>46400-1053</f>
        <v>45347</v>
      </c>
      <c r="AI79" s="69"/>
      <c r="AJ79" s="69"/>
      <c r="AK79" s="69"/>
      <c r="AL79" s="69"/>
      <c r="AM79" s="29">
        <f t="shared" si="22"/>
        <v>0</v>
      </c>
      <c r="AN79" s="29"/>
      <c r="AO79" s="29"/>
      <c r="AP79" s="29">
        <f t="shared" si="23"/>
        <v>165165</v>
      </c>
      <c r="AQ79" s="69">
        <v>67446</v>
      </c>
      <c r="AR79" s="69">
        <v>36963</v>
      </c>
      <c r="AS79" s="69">
        <v>53976</v>
      </c>
      <c r="AT79" s="69">
        <v>6780</v>
      </c>
      <c r="AU79" s="69"/>
      <c r="AV79" s="69"/>
      <c r="AW79" s="69"/>
      <c r="AX79" s="69"/>
      <c r="AY79" s="69"/>
      <c r="AZ79" s="69"/>
      <c r="BA79" s="69"/>
      <c r="BB79" s="69"/>
      <c r="BC79" s="69"/>
      <c r="BD79" s="69"/>
      <c r="BE79" s="69"/>
      <c r="BF79" s="69"/>
      <c r="BG79" s="69">
        <v>100000</v>
      </c>
      <c r="BH79" s="69"/>
      <c r="BI79" s="69"/>
      <c r="BJ79" s="69"/>
      <c r="BK79" s="69"/>
      <c r="BL79" s="69"/>
      <c r="BM79" s="69"/>
      <c r="BN79" s="69"/>
      <c r="BO79" s="69"/>
      <c r="BP79" s="69"/>
      <c r="BQ79" s="69"/>
      <c r="BR79" s="69"/>
      <c r="BS79" s="29"/>
      <c r="BT79" s="29"/>
      <c r="BU79" s="29"/>
      <c r="BV79" s="29"/>
      <c r="BW79" s="29"/>
      <c r="BX79" s="29"/>
      <c r="BY79" s="29">
        <f t="shared" si="24"/>
        <v>1573812</v>
      </c>
      <c r="BZ79" s="29"/>
      <c r="CA79" s="29"/>
      <c r="CB79" s="29"/>
      <c r="CC79" s="69"/>
      <c r="CD79" s="69"/>
      <c r="CE79" s="69"/>
      <c r="CF79" s="69"/>
      <c r="CG79" s="69"/>
      <c r="CH79" s="69">
        <v>4000</v>
      </c>
      <c r="CI79" s="69"/>
      <c r="CJ79" s="69"/>
      <c r="CK79" s="69"/>
      <c r="CL79" s="69"/>
      <c r="CM79" s="69"/>
      <c r="CN79" s="69"/>
      <c r="CO79" s="69"/>
      <c r="CP79" s="69"/>
      <c r="CQ79" s="69"/>
      <c r="CR79" s="69"/>
      <c r="CS79" s="69"/>
      <c r="CT79" s="29"/>
      <c r="CU79" s="29"/>
      <c r="CV79" s="29"/>
      <c r="CW79" s="29">
        <f t="shared" si="18"/>
        <v>4000</v>
      </c>
      <c r="CX79" s="69"/>
    </row>
    <row r="80" spans="1:102" ht="55.5" customHeight="1" x14ac:dyDescent="0.8">
      <c r="A80" s="12" t="s">
        <v>138</v>
      </c>
      <c r="B80" s="13" t="s">
        <v>139</v>
      </c>
      <c r="C80" s="69"/>
      <c r="D80" s="69"/>
      <c r="E80" s="69">
        <v>568500</v>
      </c>
      <c r="F80" s="69"/>
      <c r="G80" s="69"/>
      <c r="H80" s="69"/>
      <c r="I80" s="69"/>
      <c r="J80" s="69"/>
      <c r="K80" s="69"/>
      <c r="L80" s="69"/>
      <c r="M80" s="29">
        <f t="shared" si="19"/>
        <v>93000</v>
      </c>
      <c r="N80" s="69"/>
      <c r="O80" s="69"/>
      <c r="P80" s="69"/>
      <c r="Q80" s="69">
        <f>93000</f>
        <v>93000</v>
      </c>
      <c r="R80" s="69"/>
      <c r="S80" s="69"/>
      <c r="T80" s="69"/>
      <c r="U80" s="69"/>
      <c r="V80" s="69"/>
      <c r="W80" s="69"/>
      <c r="X80" s="69"/>
      <c r="Y80" s="69"/>
      <c r="Z80" s="29"/>
      <c r="AA80" s="29"/>
      <c r="AB80" s="29">
        <f t="shared" si="20"/>
        <v>0</v>
      </c>
      <c r="AC80" s="29"/>
      <c r="AD80" s="29"/>
      <c r="AE80" s="29">
        <f t="shared" si="21"/>
        <v>60462</v>
      </c>
      <c r="AF80" s="69"/>
      <c r="AG80" s="69"/>
      <c r="AH80" s="69">
        <f>61866-1404</f>
        <v>60462</v>
      </c>
      <c r="AI80" s="69"/>
      <c r="AJ80" s="69"/>
      <c r="AK80" s="69"/>
      <c r="AL80" s="69"/>
      <c r="AM80" s="29">
        <f t="shared" si="22"/>
        <v>206100</v>
      </c>
      <c r="AN80" s="29"/>
      <c r="AO80" s="29">
        <v>206100</v>
      </c>
      <c r="AP80" s="29">
        <f t="shared" si="23"/>
        <v>205796</v>
      </c>
      <c r="AQ80" s="69">
        <v>89928</v>
      </c>
      <c r="AR80" s="69">
        <v>35964</v>
      </c>
      <c r="AS80" s="69">
        <v>71968</v>
      </c>
      <c r="AT80" s="69">
        <v>7936</v>
      </c>
      <c r="AU80" s="69"/>
      <c r="AV80" s="69"/>
      <c r="AW80" s="69"/>
      <c r="AX80" s="69"/>
      <c r="AY80" s="69"/>
      <c r="AZ80" s="69"/>
      <c r="BA80" s="69"/>
      <c r="BB80" s="69"/>
      <c r="BC80" s="69"/>
      <c r="BD80" s="69"/>
      <c r="BE80" s="69"/>
      <c r="BF80" s="69"/>
      <c r="BG80" s="69">
        <v>202000</v>
      </c>
      <c r="BH80" s="69"/>
      <c r="BI80" s="69"/>
      <c r="BJ80" s="69"/>
      <c r="BK80" s="69"/>
      <c r="BL80" s="69"/>
      <c r="BM80" s="69"/>
      <c r="BN80" s="69"/>
      <c r="BO80" s="69"/>
      <c r="BP80" s="69"/>
      <c r="BQ80" s="69"/>
      <c r="BR80" s="69"/>
      <c r="BS80" s="29"/>
      <c r="BT80" s="29"/>
      <c r="BU80" s="29"/>
      <c r="BV80" s="29"/>
      <c r="BW80" s="29"/>
      <c r="BX80" s="29">
        <v>250000</v>
      </c>
      <c r="BY80" s="29">
        <f t="shared" si="24"/>
        <v>1585858</v>
      </c>
      <c r="BZ80" s="29"/>
      <c r="CA80" s="29"/>
      <c r="CB80" s="29"/>
      <c r="CC80" s="69"/>
      <c r="CD80" s="69">
        <f>1300000-1300000</f>
        <v>0</v>
      </c>
      <c r="CE80" s="69"/>
      <c r="CF80" s="69"/>
      <c r="CG80" s="69"/>
      <c r="CH80" s="69">
        <f>3600</f>
        <v>3600</v>
      </c>
      <c r="CI80" s="69"/>
      <c r="CJ80" s="69"/>
      <c r="CK80" s="69"/>
      <c r="CL80" s="69"/>
      <c r="CM80" s="69"/>
      <c r="CN80" s="69"/>
      <c r="CO80" s="69"/>
      <c r="CP80" s="69"/>
      <c r="CQ80" s="69"/>
      <c r="CR80" s="69"/>
      <c r="CS80" s="69"/>
      <c r="CT80" s="29"/>
      <c r="CU80" s="29"/>
      <c r="CV80" s="29"/>
      <c r="CW80" s="29">
        <f t="shared" si="18"/>
        <v>3600</v>
      </c>
      <c r="CX80" s="69"/>
    </row>
    <row r="81" spans="1:102" ht="59.25" customHeight="1" x14ac:dyDescent="0.8">
      <c r="A81" s="12" t="s">
        <v>140</v>
      </c>
      <c r="B81" s="13" t="s">
        <v>141</v>
      </c>
      <c r="C81" s="69"/>
      <c r="D81" s="113">
        <f>250000</f>
        <v>250000</v>
      </c>
      <c r="E81" s="69">
        <f>835400+853200</f>
        <v>1688600</v>
      </c>
      <c r="F81" s="69"/>
      <c r="G81" s="69"/>
      <c r="H81" s="69"/>
      <c r="I81" s="69"/>
      <c r="J81" s="69"/>
      <c r="K81" s="69"/>
      <c r="L81" s="69"/>
      <c r="M81" s="29">
        <f t="shared" si="19"/>
        <v>0</v>
      </c>
      <c r="N81" s="69"/>
      <c r="O81" s="69"/>
      <c r="P81" s="69"/>
      <c r="Q81" s="69"/>
      <c r="R81" s="69"/>
      <c r="S81" s="69"/>
      <c r="T81" s="69"/>
      <c r="U81" s="69"/>
      <c r="V81" s="69"/>
      <c r="W81" s="69"/>
      <c r="X81" s="69"/>
      <c r="Y81" s="69"/>
      <c r="Z81" s="29"/>
      <c r="AA81" s="29"/>
      <c r="AB81" s="29">
        <f t="shared" si="20"/>
        <v>112969</v>
      </c>
      <c r="AC81" s="29"/>
      <c r="AD81" s="110">
        <f>112969</f>
        <v>112969</v>
      </c>
      <c r="AE81" s="29">
        <f t="shared" si="21"/>
        <v>30231</v>
      </c>
      <c r="AF81" s="69"/>
      <c r="AG81" s="69"/>
      <c r="AH81" s="69">
        <f>30933-702</f>
        <v>30231</v>
      </c>
      <c r="AI81" s="69"/>
      <c r="AJ81" s="69"/>
      <c r="AK81" s="69"/>
      <c r="AL81" s="69"/>
      <c r="AM81" s="29">
        <f t="shared" si="22"/>
        <v>0</v>
      </c>
      <c r="AN81" s="29"/>
      <c r="AO81" s="29"/>
      <c r="AP81" s="29">
        <f t="shared" si="23"/>
        <v>126427</v>
      </c>
      <c r="AQ81" s="69">
        <v>44964</v>
      </c>
      <c r="AR81" s="69">
        <v>40959</v>
      </c>
      <c r="AS81" s="69">
        <v>35984</v>
      </c>
      <c r="AT81" s="69">
        <v>4520</v>
      </c>
      <c r="AU81" s="69"/>
      <c r="AV81" s="69"/>
      <c r="AW81" s="69"/>
      <c r="AX81" s="69"/>
      <c r="AY81" s="69"/>
      <c r="AZ81" s="69"/>
      <c r="BA81" s="69"/>
      <c r="BB81" s="69"/>
      <c r="BC81" s="69"/>
      <c r="BD81" s="69"/>
      <c r="BE81" s="69"/>
      <c r="BF81" s="69">
        <f>400000</f>
        <v>400000</v>
      </c>
      <c r="BG81" s="69">
        <v>200000</v>
      </c>
      <c r="BH81" s="69"/>
      <c r="BI81" s="69"/>
      <c r="BJ81" s="69"/>
      <c r="BK81" s="69"/>
      <c r="BL81" s="69"/>
      <c r="BM81" s="69"/>
      <c r="BN81" s="69"/>
      <c r="BO81" s="69"/>
      <c r="BP81" s="69"/>
      <c r="BQ81" s="69"/>
      <c r="BR81" s="69"/>
      <c r="BS81" s="29"/>
      <c r="BT81" s="29"/>
      <c r="BU81" s="29"/>
      <c r="BV81" s="29"/>
      <c r="BW81" s="29"/>
      <c r="BX81" s="29"/>
      <c r="BY81" s="29">
        <f t="shared" si="24"/>
        <v>2808227</v>
      </c>
      <c r="BZ81" s="29"/>
      <c r="CA81" s="29"/>
      <c r="CB81" s="29"/>
      <c r="CC81" s="69"/>
      <c r="CD81" s="69"/>
      <c r="CE81" s="69"/>
      <c r="CF81" s="69"/>
      <c r="CG81" s="69"/>
      <c r="CH81" s="69">
        <v>4400</v>
      </c>
      <c r="CI81" s="69"/>
      <c r="CJ81" s="69"/>
      <c r="CK81" s="69"/>
      <c r="CL81" s="69"/>
      <c r="CM81" s="69"/>
      <c r="CN81" s="69"/>
      <c r="CO81" s="69"/>
      <c r="CP81" s="69"/>
      <c r="CQ81" s="69"/>
      <c r="CR81" s="69"/>
      <c r="CS81" s="69"/>
      <c r="CT81" s="29"/>
      <c r="CU81" s="29"/>
      <c r="CV81" s="29"/>
      <c r="CW81" s="29">
        <f t="shared" si="18"/>
        <v>4400</v>
      </c>
      <c r="CX81" s="69"/>
    </row>
    <row r="82" spans="1:102" ht="59.25" customHeight="1" x14ac:dyDescent="0.8">
      <c r="A82" s="12" t="s">
        <v>142</v>
      </c>
      <c r="B82" s="13" t="s">
        <v>143</v>
      </c>
      <c r="C82" s="69"/>
      <c r="D82" s="69"/>
      <c r="E82" s="69">
        <v>275800</v>
      </c>
      <c r="F82" s="69"/>
      <c r="G82" s="69"/>
      <c r="H82" s="69"/>
      <c r="I82" s="69"/>
      <c r="J82" s="69"/>
      <c r="K82" s="69"/>
      <c r="L82" s="69"/>
      <c r="M82" s="29">
        <f t="shared" si="19"/>
        <v>0</v>
      </c>
      <c r="N82" s="69"/>
      <c r="O82" s="69"/>
      <c r="P82" s="69"/>
      <c r="Q82" s="69"/>
      <c r="R82" s="69"/>
      <c r="S82" s="69"/>
      <c r="T82" s="69"/>
      <c r="U82" s="69"/>
      <c r="V82" s="69"/>
      <c r="W82" s="69"/>
      <c r="X82" s="69"/>
      <c r="Y82" s="69"/>
      <c r="Z82" s="29"/>
      <c r="AA82" s="29"/>
      <c r="AB82" s="29">
        <f t="shared" si="20"/>
        <v>0</v>
      </c>
      <c r="AC82" s="29"/>
      <c r="AD82" s="29"/>
      <c r="AE82" s="29">
        <f t="shared" si="21"/>
        <v>45347</v>
      </c>
      <c r="AF82" s="69"/>
      <c r="AG82" s="69"/>
      <c r="AH82" s="69">
        <f>46400-1053</f>
        <v>45347</v>
      </c>
      <c r="AI82" s="69"/>
      <c r="AJ82" s="69"/>
      <c r="AK82" s="69"/>
      <c r="AL82" s="69"/>
      <c r="AM82" s="29">
        <f t="shared" si="22"/>
        <v>0</v>
      </c>
      <c r="AN82" s="29"/>
      <c r="AO82" s="29"/>
      <c r="AP82" s="29">
        <f t="shared" si="23"/>
        <v>144593</v>
      </c>
      <c r="AQ82" s="69">
        <v>67446</v>
      </c>
      <c r="AR82" s="69">
        <v>36963</v>
      </c>
      <c r="AS82" s="69">
        <v>35984</v>
      </c>
      <c r="AT82" s="69">
        <v>4200</v>
      </c>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29"/>
      <c r="BT82" s="29"/>
      <c r="BU82" s="29"/>
      <c r="BV82" s="29"/>
      <c r="BW82" s="29"/>
      <c r="BX82" s="29"/>
      <c r="BY82" s="29">
        <f t="shared" si="24"/>
        <v>465740</v>
      </c>
      <c r="BZ82" s="29"/>
      <c r="CA82" s="29"/>
      <c r="CB82" s="29"/>
      <c r="CC82" s="69"/>
      <c r="CD82" s="69"/>
      <c r="CE82" s="69"/>
      <c r="CF82" s="69"/>
      <c r="CG82" s="69"/>
      <c r="CH82" s="69">
        <v>2700</v>
      </c>
      <c r="CI82" s="69"/>
      <c r="CJ82" s="69"/>
      <c r="CK82" s="69"/>
      <c r="CL82" s="69"/>
      <c r="CM82" s="69"/>
      <c r="CN82" s="69"/>
      <c r="CO82" s="69"/>
      <c r="CP82" s="69"/>
      <c r="CQ82" s="69"/>
      <c r="CR82" s="69"/>
      <c r="CS82" s="69"/>
      <c r="CT82" s="29"/>
      <c r="CU82" s="29"/>
      <c r="CV82" s="29"/>
      <c r="CW82" s="29">
        <f t="shared" si="18"/>
        <v>2700</v>
      </c>
      <c r="CX82" s="69"/>
    </row>
    <row r="83" spans="1:102" ht="63" customHeight="1" x14ac:dyDescent="0.8">
      <c r="A83" s="12" t="s">
        <v>144</v>
      </c>
      <c r="B83" s="13" t="s">
        <v>145</v>
      </c>
      <c r="C83" s="69"/>
      <c r="D83" s="69"/>
      <c r="E83" s="69">
        <f>711800+726900</f>
        <v>1438700</v>
      </c>
      <c r="F83" s="69"/>
      <c r="G83" s="69"/>
      <c r="H83" s="69"/>
      <c r="I83" s="69"/>
      <c r="J83" s="69"/>
      <c r="K83" s="69"/>
      <c r="L83" s="69"/>
      <c r="M83" s="29">
        <f t="shared" si="19"/>
        <v>0</v>
      </c>
      <c r="N83" s="69"/>
      <c r="O83" s="69"/>
      <c r="P83" s="69"/>
      <c r="Q83" s="69"/>
      <c r="R83" s="69"/>
      <c r="S83" s="69"/>
      <c r="T83" s="69"/>
      <c r="U83" s="69"/>
      <c r="V83" s="69"/>
      <c r="W83" s="69"/>
      <c r="X83" s="69"/>
      <c r="Y83" s="69"/>
      <c r="Z83" s="29"/>
      <c r="AA83" s="29"/>
      <c r="AB83" s="29">
        <f t="shared" si="20"/>
        <v>0</v>
      </c>
      <c r="AC83" s="29"/>
      <c r="AD83" s="29"/>
      <c r="AE83" s="29">
        <f t="shared" si="21"/>
        <v>45347</v>
      </c>
      <c r="AF83" s="69"/>
      <c r="AG83" s="69"/>
      <c r="AH83" s="69">
        <f>46400-1053</f>
        <v>45347</v>
      </c>
      <c r="AI83" s="69"/>
      <c r="AJ83" s="69"/>
      <c r="AK83" s="69"/>
      <c r="AL83" s="69"/>
      <c r="AM83" s="29">
        <f t="shared" si="22"/>
        <v>0</v>
      </c>
      <c r="AN83" s="29"/>
      <c r="AO83" s="29"/>
      <c r="AP83" s="29">
        <f t="shared" si="23"/>
        <v>179423</v>
      </c>
      <c r="AQ83" s="69">
        <v>67446</v>
      </c>
      <c r="AR83" s="69">
        <v>30969</v>
      </c>
      <c r="AS83" s="69">
        <v>71968</v>
      </c>
      <c r="AT83" s="69">
        <v>9040</v>
      </c>
      <c r="AU83" s="69"/>
      <c r="AV83" s="69"/>
      <c r="AW83" s="69"/>
      <c r="AX83" s="69"/>
      <c r="AY83" s="69"/>
      <c r="AZ83" s="69"/>
      <c r="BA83" s="69"/>
      <c r="BB83" s="69"/>
      <c r="BC83" s="69"/>
      <c r="BD83" s="69"/>
      <c r="BE83" s="69"/>
      <c r="BF83" s="69"/>
      <c r="BG83" s="69">
        <v>30000</v>
      </c>
      <c r="BH83" s="69"/>
      <c r="BI83" s="69"/>
      <c r="BJ83" s="69"/>
      <c r="BK83" s="69"/>
      <c r="BL83" s="69"/>
      <c r="BM83" s="69"/>
      <c r="BN83" s="69"/>
      <c r="BO83" s="69"/>
      <c r="BP83" s="69"/>
      <c r="BQ83" s="69"/>
      <c r="BR83" s="69"/>
      <c r="BS83" s="29"/>
      <c r="BT83" s="29"/>
      <c r="BU83" s="29"/>
      <c r="BV83" s="29"/>
      <c r="BW83" s="29"/>
      <c r="BX83" s="29"/>
      <c r="BY83" s="29">
        <f t="shared" si="24"/>
        <v>1693470</v>
      </c>
      <c r="BZ83" s="29"/>
      <c r="CA83" s="29"/>
      <c r="CB83" s="29"/>
      <c r="CC83" s="69"/>
      <c r="CD83" s="69"/>
      <c r="CE83" s="69"/>
      <c r="CF83" s="69"/>
      <c r="CG83" s="69"/>
      <c r="CH83" s="69">
        <f>4200</f>
        <v>4200</v>
      </c>
      <c r="CI83" s="69"/>
      <c r="CJ83" s="69"/>
      <c r="CK83" s="69"/>
      <c r="CL83" s="69"/>
      <c r="CM83" s="69"/>
      <c r="CN83" s="69"/>
      <c r="CO83" s="69"/>
      <c r="CP83" s="69"/>
      <c r="CQ83" s="69"/>
      <c r="CR83" s="69"/>
      <c r="CS83" s="69"/>
      <c r="CT83" s="29"/>
      <c r="CU83" s="29"/>
      <c r="CV83" s="29"/>
      <c r="CW83" s="29">
        <f t="shared" si="18"/>
        <v>4200</v>
      </c>
      <c r="CX83" s="69"/>
    </row>
    <row r="84" spans="1:102" ht="63" customHeight="1" x14ac:dyDescent="0.8">
      <c r="A84" s="12" t="s">
        <v>146</v>
      </c>
      <c r="B84" s="13" t="s">
        <v>147</v>
      </c>
      <c r="C84" s="69"/>
      <c r="D84" s="69"/>
      <c r="E84" s="69">
        <f>377100+385200</f>
        <v>762300</v>
      </c>
      <c r="F84" s="69"/>
      <c r="G84" s="69"/>
      <c r="H84" s="69"/>
      <c r="I84" s="69"/>
      <c r="J84" s="69"/>
      <c r="K84" s="69"/>
      <c r="L84" s="69"/>
      <c r="M84" s="29">
        <f t="shared" si="19"/>
        <v>0</v>
      </c>
      <c r="N84" s="69"/>
      <c r="O84" s="69"/>
      <c r="P84" s="69"/>
      <c r="Q84" s="69"/>
      <c r="R84" s="69"/>
      <c r="S84" s="69"/>
      <c r="T84" s="69"/>
      <c r="U84" s="69"/>
      <c r="V84" s="69"/>
      <c r="W84" s="69"/>
      <c r="X84" s="69"/>
      <c r="Y84" s="69"/>
      <c r="Z84" s="29"/>
      <c r="AA84" s="29"/>
      <c r="AB84" s="29">
        <f t="shared" si="20"/>
        <v>112969</v>
      </c>
      <c r="AC84" s="29"/>
      <c r="AD84" s="110">
        <v>112969</v>
      </c>
      <c r="AE84" s="29">
        <f t="shared" si="21"/>
        <v>1369731</v>
      </c>
      <c r="AF84" s="69"/>
      <c r="AG84" s="69">
        <f>1339500</f>
        <v>1339500</v>
      </c>
      <c r="AH84" s="69">
        <f>30933-702</f>
        <v>30231</v>
      </c>
      <c r="AI84" s="69"/>
      <c r="AJ84" s="69"/>
      <c r="AK84" s="69"/>
      <c r="AL84" s="69"/>
      <c r="AM84" s="29">
        <f t="shared" si="22"/>
        <v>24224.53</v>
      </c>
      <c r="AN84" s="104">
        <f>30611-6386.47</f>
        <v>24224.53</v>
      </c>
      <c r="AO84" s="29"/>
      <c r="AP84" s="29">
        <f t="shared" si="23"/>
        <v>120077</v>
      </c>
      <c r="AQ84" s="69">
        <v>44964</v>
      </c>
      <c r="AR84" s="69">
        <v>30969</v>
      </c>
      <c r="AS84" s="69">
        <v>35984</v>
      </c>
      <c r="AT84" s="69">
        <v>8160</v>
      </c>
      <c r="AU84" s="69"/>
      <c r="AV84" s="69"/>
      <c r="AW84" s="69"/>
      <c r="AX84" s="69"/>
      <c r="AY84" s="69"/>
      <c r="AZ84" s="69"/>
      <c r="BA84" s="69"/>
      <c r="BB84" s="69"/>
      <c r="BC84" s="69"/>
      <c r="BD84" s="69"/>
      <c r="BE84" s="69"/>
      <c r="BF84" s="69"/>
      <c r="BG84" s="69">
        <v>50000</v>
      </c>
      <c r="BH84" s="69"/>
      <c r="BI84" s="69"/>
      <c r="BJ84" s="69"/>
      <c r="BK84" s="69"/>
      <c r="BL84" s="69"/>
      <c r="BM84" s="69"/>
      <c r="BN84" s="69"/>
      <c r="BO84" s="69"/>
      <c r="BP84" s="69"/>
      <c r="BQ84" s="69"/>
      <c r="BR84" s="69">
        <f>610000</f>
        <v>610000</v>
      </c>
      <c r="BS84" s="29"/>
      <c r="BT84" s="29"/>
      <c r="BU84" s="29"/>
      <c r="BV84" s="29"/>
      <c r="BW84" s="29"/>
      <c r="BX84" s="29"/>
      <c r="BY84" s="29">
        <f t="shared" si="24"/>
        <v>3049301.53</v>
      </c>
      <c r="BZ84" s="29"/>
      <c r="CA84" s="29"/>
      <c r="CB84" s="29"/>
      <c r="CC84" s="69"/>
      <c r="CD84" s="69"/>
      <c r="CE84" s="69"/>
      <c r="CF84" s="69"/>
      <c r="CG84" s="69"/>
      <c r="CH84" s="69">
        <v>3000</v>
      </c>
      <c r="CI84" s="69"/>
      <c r="CJ84" s="69"/>
      <c r="CK84" s="69"/>
      <c r="CL84" s="69"/>
      <c r="CM84" s="69"/>
      <c r="CN84" s="69"/>
      <c r="CO84" s="69"/>
      <c r="CP84" s="69"/>
      <c r="CQ84" s="69"/>
      <c r="CR84" s="69"/>
      <c r="CS84" s="69"/>
      <c r="CT84" s="29"/>
      <c r="CU84" s="29"/>
      <c r="CV84" s="29"/>
      <c r="CW84" s="29">
        <f t="shared" si="18"/>
        <v>3000</v>
      </c>
      <c r="CX84" s="69"/>
    </row>
    <row r="85" spans="1:102" ht="119.25" customHeight="1" x14ac:dyDescent="0.8">
      <c r="A85" s="12" t="s">
        <v>172</v>
      </c>
      <c r="B85" s="13" t="s">
        <v>218</v>
      </c>
      <c r="C85" s="69"/>
      <c r="D85" s="69"/>
      <c r="E85" s="69"/>
      <c r="F85" s="69"/>
      <c r="G85" s="69"/>
      <c r="H85" s="69"/>
      <c r="I85" s="69"/>
      <c r="J85" s="69"/>
      <c r="K85" s="69"/>
      <c r="L85" s="69"/>
      <c r="M85" s="29">
        <f t="shared" si="19"/>
        <v>0</v>
      </c>
      <c r="N85" s="69"/>
      <c r="O85" s="69"/>
      <c r="P85" s="69"/>
      <c r="Q85" s="69"/>
      <c r="R85" s="69"/>
      <c r="S85" s="69"/>
      <c r="T85" s="69"/>
      <c r="U85" s="69"/>
      <c r="V85" s="69"/>
      <c r="W85" s="69"/>
      <c r="X85" s="69"/>
      <c r="Y85" s="69"/>
      <c r="Z85" s="29"/>
      <c r="AA85" s="29"/>
      <c r="AB85" s="29">
        <f t="shared" si="20"/>
        <v>107200</v>
      </c>
      <c r="AC85" s="110">
        <f>107200</f>
        <v>107200</v>
      </c>
      <c r="AD85" s="29"/>
      <c r="AE85" s="29">
        <f t="shared" si="21"/>
        <v>60462</v>
      </c>
      <c r="AF85" s="69"/>
      <c r="AG85" s="69">
        <f>1339500-1339500</f>
        <v>0</v>
      </c>
      <c r="AH85" s="69">
        <v>60462</v>
      </c>
      <c r="AI85" s="69"/>
      <c r="AJ85" s="69"/>
      <c r="AK85" s="69"/>
      <c r="AL85" s="69"/>
      <c r="AM85" s="29">
        <f t="shared" si="22"/>
        <v>0</v>
      </c>
      <c r="AN85" s="104">
        <f>61222-61222</f>
        <v>0</v>
      </c>
      <c r="AO85" s="29"/>
      <c r="AP85" s="29">
        <f t="shared" si="23"/>
        <v>200326</v>
      </c>
      <c r="AQ85" s="69">
        <v>89928</v>
      </c>
      <c r="AR85" s="69">
        <v>29970</v>
      </c>
      <c r="AS85" s="69">
        <v>71968</v>
      </c>
      <c r="AT85" s="69">
        <v>8460</v>
      </c>
      <c r="AU85" s="69"/>
      <c r="AV85" s="69"/>
      <c r="AW85" s="69"/>
      <c r="AX85" s="69"/>
      <c r="AY85" s="69"/>
      <c r="AZ85" s="69"/>
      <c r="BA85" s="69"/>
      <c r="BB85" s="69"/>
      <c r="BC85" s="69"/>
      <c r="BD85" s="69"/>
      <c r="BE85" s="69"/>
      <c r="BF85" s="69"/>
      <c r="BG85" s="69">
        <v>150000</v>
      </c>
      <c r="BH85" s="69"/>
      <c r="BI85" s="69"/>
      <c r="BJ85" s="69"/>
      <c r="BK85" s="69"/>
      <c r="BL85" s="69"/>
      <c r="BM85" s="69"/>
      <c r="BN85" s="69"/>
      <c r="BO85" s="69"/>
      <c r="BP85" s="69"/>
      <c r="BQ85" s="69"/>
      <c r="BR85" s="69"/>
      <c r="BS85" s="29"/>
      <c r="BT85" s="29"/>
      <c r="BU85" s="29"/>
      <c r="BV85" s="29"/>
      <c r="BW85" s="29"/>
      <c r="BX85" s="29"/>
      <c r="BY85" s="29">
        <f t="shared" si="24"/>
        <v>517988</v>
      </c>
      <c r="BZ85" s="29"/>
      <c r="CA85" s="29"/>
      <c r="CB85" s="29"/>
      <c r="CC85" s="69"/>
      <c r="CD85" s="69"/>
      <c r="CE85" s="69"/>
      <c r="CF85" s="69"/>
      <c r="CG85" s="69"/>
      <c r="CH85" s="69">
        <f>3700</f>
        <v>3700</v>
      </c>
      <c r="CI85" s="69"/>
      <c r="CJ85" s="69"/>
      <c r="CK85" s="69"/>
      <c r="CL85" s="69"/>
      <c r="CM85" s="69"/>
      <c r="CN85" s="69"/>
      <c r="CO85" s="69"/>
      <c r="CP85" s="69"/>
      <c r="CQ85" s="69"/>
      <c r="CR85" s="69"/>
      <c r="CS85" s="69"/>
      <c r="CT85" s="29"/>
      <c r="CU85" s="29"/>
      <c r="CV85" s="29"/>
      <c r="CW85" s="29">
        <f t="shared" si="18"/>
        <v>3700</v>
      </c>
      <c r="CX85" s="69"/>
    </row>
    <row r="86" spans="1:102" ht="66.75" customHeight="1" x14ac:dyDescent="0.8">
      <c r="A86" s="12" t="s">
        <v>275</v>
      </c>
      <c r="B86" s="13" t="s">
        <v>276</v>
      </c>
      <c r="C86" s="69"/>
      <c r="D86" s="69"/>
      <c r="E86" s="69"/>
      <c r="F86" s="69"/>
      <c r="G86" s="69"/>
      <c r="H86" s="69"/>
      <c r="I86" s="69"/>
      <c r="J86" s="69"/>
      <c r="K86" s="69"/>
      <c r="L86" s="69"/>
      <c r="M86" s="29">
        <f t="shared" si="19"/>
        <v>0</v>
      </c>
      <c r="N86" s="69"/>
      <c r="O86" s="69"/>
      <c r="P86" s="69"/>
      <c r="Q86" s="69"/>
      <c r="R86" s="69"/>
      <c r="S86" s="69"/>
      <c r="T86" s="69"/>
      <c r="U86" s="69"/>
      <c r="V86" s="69"/>
      <c r="W86" s="69"/>
      <c r="X86" s="69"/>
      <c r="Y86" s="69"/>
      <c r="Z86" s="29"/>
      <c r="AA86" s="29"/>
      <c r="AB86" s="29">
        <f t="shared" si="20"/>
        <v>0</v>
      </c>
      <c r="AC86" s="29"/>
      <c r="AD86" s="29"/>
      <c r="AE86" s="29">
        <f t="shared" si="21"/>
        <v>75578</v>
      </c>
      <c r="AF86" s="69"/>
      <c r="AG86" s="69"/>
      <c r="AH86" s="69">
        <v>75578</v>
      </c>
      <c r="AI86" s="69"/>
      <c r="AJ86" s="69"/>
      <c r="AK86" s="69"/>
      <c r="AL86" s="69"/>
      <c r="AM86" s="29">
        <f t="shared" si="22"/>
        <v>0</v>
      </c>
      <c r="AN86" s="29"/>
      <c r="AO86" s="29"/>
      <c r="AP86" s="29">
        <f t="shared" si="23"/>
        <v>436465</v>
      </c>
      <c r="AQ86" s="69">
        <v>112410</v>
      </c>
      <c r="AR86" s="69">
        <v>184815</v>
      </c>
      <c r="AS86" s="69">
        <v>89960</v>
      </c>
      <c r="AT86" s="69">
        <v>49280</v>
      </c>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29"/>
      <c r="BT86" s="29"/>
      <c r="BU86" s="29"/>
      <c r="BV86" s="29"/>
      <c r="BW86" s="29"/>
      <c r="BX86" s="29"/>
      <c r="BY86" s="29">
        <f t="shared" si="24"/>
        <v>512043</v>
      </c>
      <c r="BZ86" s="29"/>
      <c r="CA86" s="29"/>
      <c r="CB86" s="29"/>
      <c r="CC86" s="69"/>
      <c r="CD86" s="69"/>
      <c r="CE86" s="69"/>
      <c r="CF86" s="69"/>
      <c r="CG86" s="69"/>
      <c r="CH86" s="69">
        <v>18000</v>
      </c>
      <c r="CI86" s="69"/>
      <c r="CJ86" s="69"/>
      <c r="CK86" s="69"/>
      <c r="CL86" s="69"/>
      <c r="CM86" s="69"/>
      <c r="CN86" s="69"/>
      <c r="CO86" s="69"/>
      <c r="CP86" s="69"/>
      <c r="CQ86" s="69"/>
      <c r="CR86" s="69"/>
      <c r="CS86" s="69"/>
      <c r="CT86" s="29"/>
      <c r="CU86" s="29"/>
      <c r="CV86" s="29"/>
      <c r="CW86" s="29">
        <f t="shared" si="18"/>
        <v>18000</v>
      </c>
      <c r="CX86" s="69"/>
    </row>
    <row r="87" spans="1:102" ht="63" customHeight="1" x14ac:dyDescent="0.8">
      <c r="A87" s="12" t="s">
        <v>170</v>
      </c>
      <c r="B87" s="13" t="s">
        <v>152</v>
      </c>
      <c r="C87" s="69"/>
      <c r="D87" s="113">
        <f>1774000</f>
        <v>1774000</v>
      </c>
      <c r="E87" s="69">
        <f>3061900</f>
        <v>3061900</v>
      </c>
      <c r="F87" s="69"/>
      <c r="G87" s="69"/>
      <c r="H87" s="69"/>
      <c r="I87" s="69"/>
      <c r="J87" s="69">
        <f>370000+760516</f>
        <v>1130516</v>
      </c>
      <c r="K87" s="69"/>
      <c r="L87" s="69"/>
      <c r="M87" s="29">
        <f t="shared" si="19"/>
        <v>0</v>
      </c>
      <c r="N87" s="69"/>
      <c r="O87" s="69"/>
      <c r="P87" s="69"/>
      <c r="Q87" s="69"/>
      <c r="R87" s="69"/>
      <c r="S87" s="69">
        <f>399818+33318+66636</f>
        <v>499772</v>
      </c>
      <c r="T87" s="69">
        <f>60290</f>
        <v>60290</v>
      </c>
      <c r="U87" s="69">
        <f>378061+40000</f>
        <v>418061</v>
      </c>
      <c r="V87" s="69"/>
      <c r="W87" s="69"/>
      <c r="X87" s="69"/>
      <c r="Y87" s="69"/>
      <c r="Z87" s="29">
        <f>1000000</f>
        <v>1000000</v>
      </c>
      <c r="AA87" s="29">
        <f>745124.47-387441.26</f>
        <v>357683.20999999996</v>
      </c>
      <c r="AB87" s="29">
        <f t="shared" si="20"/>
        <v>1061615</v>
      </c>
      <c r="AC87" s="110">
        <f>383800</f>
        <v>383800</v>
      </c>
      <c r="AD87" s="110">
        <v>677815</v>
      </c>
      <c r="AE87" s="29">
        <f t="shared" si="21"/>
        <v>581304.38</v>
      </c>
      <c r="AF87" s="69">
        <f>415033.38</f>
        <v>415033.38</v>
      </c>
      <c r="AG87" s="69"/>
      <c r="AH87" s="69">
        <v>166271</v>
      </c>
      <c r="AI87" s="69"/>
      <c r="AJ87" s="69"/>
      <c r="AK87" s="69"/>
      <c r="AL87" s="69"/>
      <c r="AM87" s="29">
        <f t="shared" si="22"/>
        <v>313684</v>
      </c>
      <c r="AN87" s="104">
        <f>122444-14860</f>
        <v>107584</v>
      </c>
      <c r="AO87" s="29">
        <v>206100</v>
      </c>
      <c r="AP87" s="29">
        <f t="shared" si="23"/>
        <v>554633</v>
      </c>
      <c r="AQ87" s="69">
        <v>247302</v>
      </c>
      <c r="AR87" s="69">
        <v>116883</v>
      </c>
      <c r="AS87" s="69">
        <v>161928</v>
      </c>
      <c r="AT87" s="69">
        <v>28520</v>
      </c>
      <c r="AU87" s="69"/>
      <c r="AV87" s="69"/>
      <c r="AW87" s="69"/>
      <c r="AX87" s="69"/>
      <c r="AY87" s="69"/>
      <c r="AZ87" s="69"/>
      <c r="BA87" s="69"/>
      <c r="BB87" s="69"/>
      <c r="BC87" s="69"/>
      <c r="BD87" s="69"/>
      <c r="BE87" s="69"/>
      <c r="BF87" s="69">
        <f>1800000+1100000+1100000+700000+1200000</f>
        <v>5900000</v>
      </c>
      <c r="BG87" s="69">
        <v>170000</v>
      </c>
      <c r="BH87" s="69"/>
      <c r="BI87" s="69"/>
      <c r="BJ87" s="69"/>
      <c r="BK87" s="69"/>
      <c r="BL87" s="69"/>
      <c r="BM87" s="69"/>
      <c r="BN87" s="69"/>
      <c r="BO87" s="69"/>
      <c r="BP87" s="69"/>
      <c r="BQ87" s="69"/>
      <c r="BR87" s="69">
        <f>200000</f>
        <v>200000</v>
      </c>
      <c r="BS87" s="29"/>
      <c r="BT87" s="29"/>
      <c r="BU87" s="29"/>
      <c r="BV87" s="29"/>
      <c r="BW87" s="29"/>
      <c r="BX87" s="29"/>
      <c r="BY87" s="29">
        <f t="shared" si="24"/>
        <v>17083458.590000004</v>
      </c>
      <c r="BZ87" s="29"/>
      <c r="CA87" s="29"/>
      <c r="CB87" s="29"/>
      <c r="CC87" s="69"/>
      <c r="CD87" s="69"/>
      <c r="CE87" s="69"/>
      <c r="CF87" s="69"/>
      <c r="CG87" s="69"/>
      <c r="CH87" s="69">
        <v>15800</v>
      </c>
      <c r="CI87" s="69"/>
      <c r="CJ87" s="69"/>
      <c r="CK87" s="69"/>
      <c r="CL87" s="69"/>
      <c r="CM87" s="69"/>
      <c r="CN87" s="69"/>
      <c r="CO87" s="69"/>
      <c r="CP87" s="69"/>
      <c r="CQ87" s="69"/>
      <c r="CR87" s="69"/>
      <c r="CS87" s="69"/>
      <c r="CT87" s="29"/>
      <c r="CU87" s="29"/>
      <c r="CV87" s="29"/>
      <c r="CW87" s="29">
        <f t="shared" si="18"/>
        <v>15800</v>
      </c>
      <c r="CX87" s="69"/>
    </row>
    <row r="88" spans="1:102" ht="59.25" customHeight="1" x14ac:dyDescent="0.8">
      <c r="A88" s="12" t="s">
        <v>169</v>
      </c>
      <c r="B88" s="13" t="s">
        <v>151</v>
      </c>
      <c r="C88" s="69"/>
      <c r="D88" s="69"/>
      <c r="E88" s="69"/>
      <c r="F88" s="69"/>
      <c r="G88" s="69"/>
      <c r="H88" s="69"/>
      <c r="I88" s="69"/>
      <c r="J88" s="69"/>
      <c r="K88" s="69"/>
      <c r="L88" s="69"/>
      <c r="M88" s="29">
        <f t="shared" si="19"/>
        <v>0</v>
      </c>
      <c r="N88" s="69"/>
      <c r="O88" s="69"/>
      <c r="P88" s="69"/>
      <c r="Q88" s="69"/>
      <c r="R88" s="69"/>
      <c r="S88" s="69"/>
      <c r="T88" s="69"/>
      <c r="U88" s="69"/>
      <c r="V88" s="69"/>
      <c r="W88" s="69"/>
      <c r="X88" s="69"/>
      <c r="Y88" s="69"/>
      <c r="Z88" s="29"/>
      <c r="AA88" s="29"/>
      <c r="AB88" s="29">
        <f t="shared" si="20"/>
        <v>338907</v>
      </c>
      <c r="AC88" s="29"/>
      <c r="AD88" s="110">
        <v>338907</v>
      </c>
      <c r="AE88" s="29">
        <f t="shared" si="21"/>
        <v>45347</v>
      </c>
      <c r="AF88" s="69"/>
      <c r="AG88" s="69"/>
      <c r="AH88" s="69">
        <v>45347</v>
      </c>
      <c r="AI88" s="69"/>
      <c r="AJ88" s="69"/>
      <c r="AK88" s="69"/>
      <c r="AL88" s="69"/>
      <c r="AM88" s="29">
        <f t="shared" si="22"/>
        <v>44055</v>
      </c>
      <c r="AN88" s="104">
        <f>122444-78389</f>
        <v>44055</v>
      </c>
      <c r="AO88" s="29"/>
      <c r="AP88" s="29">
        <f t="shared" si="23"/>
        <v>153446</v>
      </c>
      <c r="AQ88" s="69">
        <v>67446</v>
      </c>
      <c r="AR88" s="69">
        <v>43956</v>
      </c>
      <c r="AS88" s="69">
        <v>35984</v>
      </c>
      <c r="AT88" s="69">
        <v>6060</v>
      </c>
      <c r="AU88" s="69"/>
      <c r="AV88" s="69"/>
      <c r="AW88" s="69"/>
      <c r="AX88" s="69"/>
      <c r="AY88" s="69"/>
      <c r="AZ88" s="69"/>
      <c r="BA88" s="69"/>
      <c r="BB88" s="69"/>
      <c r="BC88" s="69"/>
      <c r="BD88" s="69"/>
      <c r="BE88" s="69"/>
      <c r="BF88" s="69"/>
      <c r="BG88" s="69">
        <f>40000+60000</f>
        <v>100000</v>
      </c>
      <c r="BH88" s="69"/>
      <c r="BI88" s="69"/>
      <c r="BJ88" s="69"/>
      <c r="BK88" s="69"/>
      <c r="BL88" s="69"/>
      <c r="BM88" s="69"/>
      <c r="BN88" s="69"/>
      <c r="BO88" s="69"/>
      <c r="BP88" s="69"/>
      <c r="BQ88" s="69"/>
      <c r="BR88" s="69"/>
      <c r="BS88" s="29"/>
      <c r="BT88" s="29"/>
      <c r="BU88" s="29"/>
      <c r="BV88" s="29"/>
      <c r="BW88" s="29"/>
      <c r="BX88" s="29"/>
      <c r="BY88" s="29">
        <f t="shared" si="24"/>
        <v>681755</v>
      </c>
      <c r="BZ88" s="29"/>
      <c r="CA88" s="29"/>
      <c r="CB88" s="29"/>
      <c r="CC88" s="69"/>
      <c r="CD88" s="69">
        <f>250000</f>
        <v>250000</v>
      </c>
      <c r="CE88" s="69"/>
      <c r="CF88" s="69"/>
      <c r="CG88" s="69"/>
      <c r="CH88" s="69">
        <v>3300</v>
      </c>
      <c r="CI88" s="69"/>
      <c r="CJ88" s="69"/>
      <c r="CK88" s="69"/>
      <c r="CL88" s="69"/>
      <c r="CM88" s="69"/>
      <c r="CN88" s="69"/>
      <c r="CO88" s="69"/>
      <c r="CP88" s="69"/>
      <c r="CQ88" s="69"/>
      <c r="CR88" s="69"/>
      <c r="CS88" s="69"/>
      <c r="CT88" s="29"/>
      <c r="CU88" s="29"/>
      <c r="CV88" s="29"/>
      <c r="CW88" s="29">
        <f t="shared" si="18"/>
        <v>253300</v>
      </c>
      <c r="CX88" s="69"/>
    </row>
    <row r="89" spans="1:102" ht="63" customHeight="1" x14ac:dyDescent="0.8">
      <c r="A89" s="12" t="s">
        <v>174</v>
      </c>
      <c r="B89" s="13" t="s">
        <v>226</v>
      </c>
      <c r="C89" s="69"/>
      <c r="D89" s="69"/>
      <c r="E89" s="69"/>
      <c r="F89" s="69"/>
      <c r="G89" s="69"/>
      <c r="H89" s="69"/>
      <c r="I89" s="69"/>
      <c r="J89" s="69"/>
      <c r="K89" s="69"/>
      <c r="L89" s="69"/>
      <c r="M89" s="29">
        <f t="shared" si="19"/>
        <v>0</v>
      </c>
      <c r="N89" s="69"/>
      <c r="O89" s="69"/>
      <c r="P89" s="69"/>
      <c r="Q89" s="69"/>
      <c r="R89" s="69"/>
      <c r="S89" s="69"/>
      <c r="T89" s="69"/>
      <c r="U89" s="69"/>
      <c r="V89" s="69"/>
      <c r="W89" s="69"/>
      <c r="X89" s="69"/>
      <c r="Y89" s="69"/>
      <c r="Z89" s="29"/>
      <c r="AA89" s="29"/>
      <c r="AB89" s="29">
        <f t="shared" si="20"/>
        <v>0</v>
      </c>
      <c r="AC89" s="29"/>
      <c r="AD89" s="29"/>
      <c r="AE89" s="29">
        <f t="shared" si="21"/>
        <v>45347</v>
      </c>
      <c r="AF89" s="69"/>
      <c r="AG89" s="69"/>
      <c r="AH89" s="69">
        <v>45347</v>
      </c>
      <c r="AI89" s="69"/>
      <c r="AJ89" s="69"/>
      <c r="AK89" s="69"/>
      <c r="AL89" s="69"/>
      <c r="AM89" s="29">
        <f t="shared" si="22"/>
        <v>0</v>
      </c>
      <c r="AN89" s="29"/>
      <c r="AO89" s="29"/>
      <c r="AP89" s="29">
        <f t="shared" si="23"/>
        <v>169440</v>
      </c>
      <c r="AQ89" s="69">
        <v>67446</v>
      </c>
      <c r="AR89" s="69">
        <v>41958</v>
      </c>
      <c r="AS89" s="69">
        <v>53976</v>
      </c>
      <c r="AT89" s="69">
        <v>6060</v>
      </c>
      <c r="AU89" s="69"/>
      <c r="AV89" s="69"/>
      <c r="AW89" s="69"/>
      <c r="AX89" s="69"/>
      <c r="AY89" s="69"/>
      <c r="AZ89" s="69"/>
      <c r="BA89" s="69"/>
      <c r="BB89" s="69"/>
      <c r="BC89" s="69"/>
      <c r="BD89" s="69"/>
      <c r="BE89" s="69"/>
      <c r="BF89" s="69"/>
      <c r="BG89" s="69">
        <f>145000+40000</f>
        <v>185000</v>
      </c>
      <c r="BH89" s="69"/>
      <c r="BI89" s="69"/>
      <c r="BJ89" s="69"/>
      <c r="BK89" s="69"/>
      <c r="BL89" s="69"/>
      <c r="BM89" s="69"/>
      <c r="BN89" s="69"/>
      <c r="BO89" s="69"/>
      <c r="BP89" s="69"/>
      <c r="BQ89" s="69"/>
      <c r="BR89" s="69">
        <f>500000+700000+730000-730000</f>
        <v>1200000</v>
      </c>
      <c r="BS89" s="29"/>
      <c r="BT89" s="29"/>
      <c r="BU89" s="29"/>
      <c r="BV89" s="29"/>
      <c r="BW89" s="29"/>
      <c r="BX89" s="29"/>
      <c r="BY89" s="29">
        <f t="shared" si="24"/>
        <v>1599787</v>
      </c>
      <c r="BZ89" s="29"/>
      <c r="CA89" s="29"/>
      <c r="CB89" s="29"/>
      <c r="CC89" s="69"/>
      <c r="CD89" s="69"/>
      <c r="CE89" s="69"/>
      <c r="CF89" s="69"/>
      <c r="CG89" s="69"/>
      <c r="CH89" s="69">
        <f>3900</f>
        <v>3900</v>
      </c>
      <c r="CI89" s="69"/>
      <c r="CJ89" s="69"/>
      <c r="CK89" s="69"/>
      <c r="CL89" s="69"/>
      <c r="CM89" s="69"/>
      <c r="CN89" s="69"/>
      <c r="CO89" s="69"/>
      <c r="CP89" s="69"/>
      <c r="CQ89" s="69"/>
      <c r="CR89" s="69"/>
      <c r="CS89" s="69"/>
      <c r="CT89" s="29"/>
      <c r="CU89" s="29"/>
      <c r="CV89" s="29"/>
      <c r="CW89" s="29">
        <f t="shared" si="18"/>
        <v>3900</v>
      </c>
      <c r="CX89" s="69"/>
    </row>
    <row r="90" spans="1:102" ht="63" customHeight="1" x14ac:dyDescent="0.8">
      <c r="A90" s="12" t="s">
        <v>179</v>
      </c>
      <c r="B90" s="13" t="s">
        <v>157</v>
      </c>
      <c r="C90" s="69"/>
      <c r="D90" s="113">
        <f>1000000</f>
        <v>1000000</v>
      </c>
      <c r="E90" s="69"/>
      <c r="F90" s="69"/>
      <c r="G90" s="69"/>
      <c r="H90" s="69"/>
      <c r="I90" s="69"/>
      <c r="J90" s="69"/>
      <c r="K90" s="69"/>
      <c r="L90" s="69"/>
      <c r="M90" s="29">
        <f t="shared" si="19"/>
        <v>0</v>
      </c>
      <c r="N90" s="69"/>
      <c r="O90" s="69"/>
      <c r="P90" s="69"/>
      <c r="Q90" s="69"/>
      <c r="R90" s="69"/>
      <c r="S90" s="69"/>
      <c r="T90" s="69"/>
      <c r="U90" s="69"/>
      <c r="V90" s="69"/>
      <c r="W90" s="69"/>
      <c r="X90" s="69"/>
      <c r="Y90" s="69"/>
      <c r="Z90" s="29"/>
      <c r="AA90" s="29"/>
      <c r="AB90" s="29">
        <f t="shared" si="20"/>
        <v>225938</v>
      </c>
      <c r="AC90" s="29"/>
      <c r="AD90" s="110">
        <v>225938</v>
      </c>
      <c r="AE90" s="29">
        <f t="shared" si="21"/>
        <v>90693</v>
      </c>
      <c r="AF90" s="69"/>
      <c r="AG90" s="69"/>
      <c r="AH90" s="69">
        <v>90693</v>
      </c>
      <c r="AI90" s="69"/>
      <c r="AJ90" s="69"/>
      <c r="AK90" s="69"/>
      <c r="AL90" s="69"/>
      <c r="AM90" s="29">
        <f t="shared" si="22"/>
        <v>204776</v>
      </c>
      <c r="AN90" s="104">
        <f>489776-285000</f>
        <v>204776</v>
      </c>
      <c r="AO90" s="29"/>
      <c r="AP90" s="29">
        <f t="shared" si="23"/>
        <v>350314</v>
      </c>
      <c r="AQ90" s="69">
        <v>134892</v>
      </c>
      <c r="AR90" s="69">
        <v>89910</v>
      </c>
      <c r="AS90" s="69">
        <v>107952</v>
      </c>
      <c r="AT90" s="69">
        <v>17560</v>
      </c>
      <c r="AU90" s="69"/>
      <c r="AV90" s="69"/>
      <c r="AW90" s="69"/>
      <c r="AX90" s="69"/>
      <c r="AY90" s="69"/>
      <c r="AZ90" s="69"/>
      <c r="BA90" s="69"/>
      <c r="BB90" s="69"/>
      <c r="BC90" s="69"/>
      <c r="BD90" s="69"/>
      <c r="BE90" s="69"/>
      <c r="BF90" s="69"/>
      <c r="BG90" s="69">
        <v>205000</v>
      </c>
      <c r="BH90" s="69">
        <f>45000</f>
        <v>45000</v>
      </c>
      <c r="BI90" s="69"/>
      <c r="BJ90" s="69"/>
      <c r="BK90" s="69"/>
      <c r="BL90" s="69">
        <v>1650000</v>
      </c>
      <c r="BM90" s="69"/>
      <c r="BN90" s="69"/>
      <c r="BO90" s="69"/>
      <c r="BP90" s="69"/>
      <c r="BQ90" s="69"/>
      <c r="BR90" s="69">
        <v>1590000</v>
      </c>
      <c r="BS90" s="29"/>
      <c r="BT90" s="29"/>
      <c r="BU90" s="29"/>
      <c r="BV90" s="29"/>
      <c r="BW90" s="29"/>
      <c r="BX90" s="29"/>
      <c r="BY90" s="29">
        <f t="shared" si="24"/>
        <v>5361721</v>
      </c>
      <c r="BZ90" s="29"/>
      <c r="CA90" s="29"/>
      <c r="CB90" s="29"/>
      <c r="CC90" s="69"/>
      <c r="CD90" s="69"/>
      <c r="CE90" s="69"/>
      <c r="CF90" s="69"/>
      <c r="CG90" s="69"/>
      <c r="CH90" s="69">
        <v>13800</v>
      </c>
      <c r="CI90" s="69"/>
      <c r="CJ90" s="69"/>
      <c r="CK90" s="69"/>
      <c r="CL90" s="69"/>
      <c r="CM90" s="69"/>
      <c r="CN90" s="69"/>
      <c r="CO90" s="69"/>
      <c r="CP90" s="69"/>
      <c r="CQ90" s="69"/>
      <c r="CR90" s="69"/>
      <c r="CS90" s="69"/>
      <c r="CT90" s="29"/>
      <c r="CU90" s="29"/>
      <c r="CV90" s="29"/>
      <c r="CW90" s="29">
        <f t="shared" si="18"/>
        <v>13800</v>
      </c>
      <c r="CX90" s="69"/>
    </row>
    <row r="91" spans="1:102" ht="63" customHeight="1" x14ac:dyDescent="0.8">
      <c r="A91" s="12" t="s">
        <v>171</v>
      </c>
      <c r="B91" s="13" t="s">
        <v>153</v>
      </c>
      <c r="C91" s="69"/>
      <c r="D91" s="113">
        <f>650000</f>
        <v>650000</v>
      </c>
      <c r="E91" s="69"/>
      <c r="F91" s="69"/>
      <c r="G91" s="69"/>
      <c r="H91" s="69"/>
      <c r="I91" s="69"/>
      <c r="J91" s="69"/>
      <c r="K91" s="69"/>
      <c r="L91" s="69"/>
      <c r="M91" s="29">
        <f t="shared" si="19"/>
        <v>0</v>
      </c>
      <c r="N91" s="69"/>
      <c r="O91" s="69"/>
      <c r="P91" s="69"/>
      <c r="Q91" s="69"/>
      <c r="R91" s="69"/>
      <c r="S91" s="69"/>
      <c r="T91" s="69"/>
      <c r="U91" s="69"/>
      <c r="V91" s="69"/>
      <c r="W91" s="69"/>
      <c r="X91" s="69"/>
      <c r="Y91" s="69"/>
      <c r="Z91" s="29"/>
      <c r="AA91" s="29"/>
      <c r="AB91" s="29">
        <f t="shared" si="20"/>
        <v>338907</v>
      </c>
      <c r="AC91" s="29"/>
      <c r="AD91" s="110">
        <v>338907</v>
      </c>
      <c r="AE91" s="29">
        <f t="shared" si="21"/>
        <v>60462</v>
      </c>
      <c r="AF91" s="69"/>
      <c r="AG91" s="69"/>
      <c r="AH91" s="69">
        <v>60462</v>
      </c>
      <c r="AI91" s="69"/>
      <c r="AJ91" s="69"/>
      <c r="AK91" s="69"/>
      <c r="AL91" s="69"/>
      <c r="AM91" s="29">
        <f t="shared" si="22"/>
        <v>40609.4</v>
      </c>
      <c r="AN91" s="104">
        <f>61222-20612.6</f>
        <v>40609.4</v>
      </c>
      <c r="AO91" s="29"/>
      <c r="AP91" s="29">
        <f t="shared" si="23"/>
        <v>252189</v>
      </c>
      <c r="AQ91" s="69">
        <v>89928</v>
      </c>
      <c r="AR91" s="69">
        <v>82917</v>
      </c>
      <c r="AS91" s="69">
        <v>71968</v>
      </c>
      <c r="AT91" s="69">
        <v>7376</v>
      </c>
      <c r="AU91" s="69"/>
      <c r="AV91" s="69"/>
      <c r="AW91" s="69"/>
      <c r="AX91" s="69"/>
      <c r="AY91" s="69"/>
      <c r="AZ91" s="69"/>
      <c r="BA91" s="69"/>
      <c r="BB91" s="69"/>
      <c r="BC91" s="69"/>
      <c r="BD91" s="69"/>
      <c r="BE91" s="69"/>
      <c r="BF91" s="69">
        <f>900000+900000+350000+300000</f>
        <v>2450000</v>
      </c>
      <c r="BG91" s="69">
        <f>65000+30000</f>
        <v>95000</v>
      </c>
      <c r="BH91" s="69"/>
      <c r="BI91" s="69"/>
      <c r="BJ91" s="69"/>
      <c r="BK91" s="69"/>
      <c r="BL91" s="69"/>
      <c r="BM91" s="69"/>
      <c r="BN91" s="69"/>
      <c r="BO91" s="69"/>
      <c r="BP91" s="69"/>
      <c r="BQ91" s="69"/>
      <c r="BR91" s="69"/>
      <c r="BS91" s="29"/>
      <c r="BT91" s="29"/>
      <c r="BU91" s="29"/>
      <c r="BV91" s="29"/>
      <c r="BW91" s="29"/>
      <c r="BX91" s="29"/>
      <c r="BY91" s="29">
        <f t="shared" si="24"/>
        <v>3887167.3999999994</v>
      </c>
      <c r="BZ91" s="29"/>
      <c r="CA91" s="29"/>
      <c r="CB91" s="29"/>
      <c r="CC91" s="69"/>
      <c r="CD91" s="69"/>
      <c r="CE91" s="69"/>
      <c r="CF91" s="69"/>
      <c r="CG91" s="69"/>
      <c r="CH91" s="69">
        <v>7700</v>
      </c>
      <c r="CI91" s="69"/>
      <c r="CJ91" s="69"/>
      <c r="CK91" s="69"/>
      <c r="CL91" s="69"/>
      <c r="CM91" s="69"/>
      <c r="CN91" s="69"/>
      <c r="CO91" s="69"/>
      <c r="CP91" s="69"/>
      <c r="CQ91" s="69"/>
      <c r="CR91" s="69"/>
      <c r="CS91" s="69"/>
      <c r="CT91" s="29"/>
      <c r="CU91" s="29"/>
      <c r="CV91" s="29"/>
      <c r="CW91" s="29">
        <f t="shared" si="18"/>
        <v>7700</v>
      </c>
      <c r="CX91" s="69"/>
    </row>
    <row r="92" spans="1:102" ht="59.25" customHeight="1" x14ac:dyDescent="0.8">
      <c r="A92" s="12" t="s">
        <v>178</v>
      </c>
      <c r="B92" s="13" t="s">
        <v>156</v>
      </c>
      <c r="C92" s="69"/>
      <c r="D92" s="69"/>
      <c r="E92" s="69"/>
      <c r="F92" s="69"/>
      <c r="G92" s="69"/>
      <c r="H92" s="69"/>
      <c r="I92" s="69"/>
      <c r="J92" s="69"/>
      <c r="K92" s="69"/>
      <c r="L92" s="69"/>
      <c r="M92" s="29">
        <f t="shared" si="19"/>
        <v>0</v>
      </c>
      <c r="N92" s="69"/>
      <c r="O92" s="69"/>
      <c r="P92" s="69"/>
      <c r="Q92" s="69"/>
      <c r="R92" s="69"/>
      <c r="S92" s="69"/>
      <c r="T92" s="69"/>
      <c r="U92" s="69"/>
      <c r="V92" s="69"/>
      <c r="W92" s="69"/>
      <c r="X92" s="69"/>
      <c r="Y92" s="69"/>
      <c r="Z92" s="29"/>
      <c r="AA92" s="29"/>
      <c r="AB92" s="29">
        <f t="shared" si="20"/>
        <v>0</v>
      </c>
      <c r="AC92" s="29"/>
      <c r="AD92" s="29"/>
      <c r="AE92" s="29">
        <f t="shared" si="21"/>
        <v>30231</v>
      </c>
      <c r="AF92" s="69"/>
      <c r="AG92" s="69"/>
      <c r="AH92" s="69">
        <v>30231</v>
      </c>
      <c r="AI92" s="69"/>
      <c r="AJ92" s="69"/>
      <c r="AK92" s="69"/>
      <c r="AL92" s="69"/>
      <c r="AM92" s="29">
        <f t="shared" si="22"/>
        <v>0</v>
      </c>
      <c r="AN92" s="29"/>
      <c r="AO92" s="29"/>
      <c r="AP92" s="29">
        <f t="shared" si="23"/>
        <v>114606</v>
      </c>
      <c r="AQ92" s="69">
        <v>44964</v>
      </c>
      <c r="AR92" s="69">
        <v>29970</v>
      </c>
      <c r="AS92" s="69">
        <v>35984</v>
      </c>
      <c r="AT92" s="69">
        <v>3688</v>
      </c>
      <c r="AU92" s="69"/>
      <c r="AV92" s="69"/>
      <c r="AW92" s="69"/>
      <c r="AX92" s="69"/>
      <c r="AY92" s="69"/>
      <c r="AZ92" s="69"/>
      <c r="BA92" s="69"/>
      <c r="BB92" s="69"/>
      <c r="BC92" s="69"/>
      <c r="BD92" s="69"/>
      <c r="BE92" s="69"/>
      <c r="BF92" s="69"/>
      <c r="BG92" s="69">
        <f>65000+20000</f>
        <v>85000</v>
      </c>
      <c r="BH92" s="69"/>
      <c r="BI92" s="69"/>
      <c r="BJ92" s="69"/>
      <c r="BK92" s="69"/>
      <c r="BL92" s="69"/>
      <c r="BM92" s="69"/>
      <c r="BN92" s="69"/>
      <c r="BO92" s="69"/>
      <c r="BP92" s="69"/>
      <c r="BQ92" s="69">
        <f>1500000+1500000</f>
        <v>3000000</v>
      </c>
      <c r="BR92" s="69">
        <f>500000+600000</f>
        <v>1100000</v>
      </c>
      <c r="BS92" s="29"/>
      <c r="BT92" s="29"/>
      <c r="BU92" s="29"/>
      <c r="BV92" s="29"/>
      <c r="BW92" s="29"/>
      <c r="BX92" s="29"/>
      <c r="BY92" s="29">
        <f t="shared" si="24"/>
        <v>4329837</v>
      </c>
      <c r="BZ92" s="29"/>
      <c r="CA92" s="29"/>
      <c r="CB92" s="29"/>
      <c r="CC92" s="69">
        <f>1000000-1000000</f>
        <v>0</v>
      </c>
      <c r="CD92" s="69"/>
      <c r="CE92" s="69"/>
      <c r="CF92" s="69"/>
      <c r="CG92" s="69"/>
      <c r="CH92" s="69">
        <v>2800</v>
      </c>
      <c r="CI92" s="69"/>
      <c r="CJ92" s="69"/>
      <c r="CK92" s="69"/>
      <c r="CL92" s="69"/>
      <c r="CM92" s="69"/>
      <c r="CN92" s="69"/>
      <c r="CO92" s="69"/>
      <c r="CP92" s="69"/>
      <c r="CQ92" s="69"/>
      <c r="CR92" s="69"/>
      <c r="CS92" s="69"/>
      <c r="CT92" s="29"/>
      <c r="CU92" s="29"/>
      <c r="CV92" s="29"/>
      <c r="CW92" s="29">
        <f t="shared" si="18"/>
        <v>2800</v>
      </c>
      <c r="CX92" s="69"/>
    </row>
    <row r="93" spans="1:102" ht="63" customHeight="1" x14ac:dyDescent="0.8">
      <c r="A93" s="12" t="s">
        <v>175</v>
      </c>
      <c r="B93" s="13" t="s">
        <v>257</v>
      </c>
      <c r="C93" s="69"/>
      <c r="D93" s="69"/>
      <c r="E93" s="69"/>
      <c r="F93" s="69"/>
      <c r="G93" s="69"/>
      <c r="H93" s="69"/>
      <c r="I93" s="69"/>
      <c r="J93" s="69">
        <f>600000+771400</f>
        <v>1371400</v>
      </c>
      <c r="K93" s="69"/>
      <c r="L93" s="69"/>
      <c r="M93" s="29">
        <f t="shared" si="19"/>
        <v>0</v>
      </c>
      <c r="N93" s="69"/>
      <c r="O93" s="69"/>
      <c r="P93" s="69"/>
      <c r="Q93" s="69"/>
      <c r="R93" s="69"/>
      <c r="S93" s="69">
        <f>425822+40000+38819+77638</f>
        <v>582279</v>
      </c>
      <c r="T93" s="69">
        <f>64212</f>
        <v>64212</v>
      </c>
      <c r="U93" s="69"/>
      <c r="V93" s="69"/>
      <c r="W93" s="69"/>
      <c r="X93" s="69"/>
      <c r="Y93" s="69"/>
      <c r="Z93" s="29"/>
      <c r="AA93" s="29"/>
      <c r="AB93" s="29">
        <f t="shared" si="20"/>
        <v>225938</v>
      </c>
      <c r="AC93" s="29"/>
      <c r="AD93" s="110">
        <v>225938</v>
      </c>
      <c r="AE93" s="29">
        <f t="shared" si="21"/>
        <v>3650850</v>
      </c>
      <c r="AF93" s="69">
        <v>3545041</v>
      </c>
      <c r="AG93" s="69"/>
      <c r="AH93" s="69">
        <v>105809</v>
      </c>
      <c r="AI93" s="69"/>
      <c r="AJ93" s="69"/>
      <c r="AK93" s="69"/>
      <c r="AL93" s="69"/>
      <c r="AM93" s="29">
        <f t="shared" si="22"/>
        <v>294080</v>
      </c>
      <c r="AN93" s="104">
        <f>153055-65000</f>
        <v>88055</v>
      </c>
      <c r="AO93" s="29">
        <f>206025</f>
        <v>206025</v>
      </c>
      <c r="AP93" s="29">
        <f t="shared" si="23"/>
        <v>318541</v>
      </c>
      <c r="AQ93" s="69">
        <v>157374</v>
      </c>
      <c r="AR93" s="69">
        <v>116883</v>
      </c>
      <c r="AS93" s="69">
        <v>35984</v>
      </c>
      <c r="AT93" s="69">
        <v>8300</v>
      </c>
      <c r="AU93" s="69"/>
      <c r="AV93" s="69"/>
      <c r="AW93" s="69"/>
      <c r="AX93" s="69"/>
      <c r="AY93" s="69"/>
      <c r="AZ93" s="69"/>
      <c r="BA93" s="69"/>
      <c r="BB93" s="69"/>
      <c r="BC93" s="69"/>
      <c r="BD93" s="69"/>
      <c r="BE93" s="69"/>
      <c r="BF93" s="69"/>
      <c r="BG93" s="69">
        <f>40000-20000+328000</f>
        <v>348000</v>
      </c>
      <c r="BH93" s="69">
        <f>88000</f>
        <v>88000</v>
      </c>
      <c r="BI93" s="69"/>
      <c r="BJ93" s="69"/>
      <c r="BK93" s="69"/>
      <c r="BL93" s="69"/>
      <c r="BM93" s="69"/>
      <c r="BN93" s="69"/>
      <c r="BO93" s="69"/>
      <c r="BP93" s="69"/>
      <c r="BQ93" s="69"/>
      <c r="BR93" s="69">
        <v>1650000</v>
      </c>
      <c r="BS93" s="29"/>
      <c r="BT93" s="29"/>
      <c r="BU93" s="29"/>
      <c r="BV93" s="29"/>
      <c r="BW93" s="29"/>
      <c r="BX93" s="29"/>
      <c r="BY93" s="29">
        <f t="shared" si="24"/>
        <v>8593300</v>
      </c>
      <c r="BZ93" s="29"/>
      <c r="CA93" s="29"/>
      <c r="CB93" s="29"/>
      <c r="CC93" s="69"/>
      <c r="CD93" s="69"/>
      <c r="CE93" s="69"/>
      <c r="CF93" s="69"/>
      <c r="CG93" s="69"/>
      <c r="CH93" s="69">
        <f>9400</f>
        <v>9400</v>
      </c>
      <c r="CI93" s="69"/>
      <c r="CJ93" s="69"/>
      <c r="CK93" s="69"/>
      <c r="CL93" s="69"/>
      <c r="CM93" s="69"/>
      <c r="CN93" s="69"/>
      <c r="CO93" s="69"/>
      <c r="CP93" s="69"/>
      <c r="CQ93" s="69"/>
      <c r="CR93" s="69"/>
      <c r="CS93" s="69"/>
      <c r="CT93" s="29"/>
      <c r="CU93" s="29"/>
      <c r="CV93" s="29"/>
      <c r="CW93" s="29">
        <f t="shared" si="18"/>
        <v>9400</v>
      </c>
      <c r="CX93" s="69"/>
    </row>
    <row r="94" spans="1:102" ht="119.25" customHeight="1" x14ac:dyDescent="0.8">
      <c r="A94" s="12" t="s">
        <v>173</v>
      </c>
      <c r="B94" s="13" t="s">
        <v>219</v>
      </c>
      <c r="C94" s="69"/>
      <c r="D94" s="69"/>
      <c r="E94" s="69"/>
      <c r="F94" s="69"/>
      <c r="G94" s="69"/>
      <c r="H94" s="69"/>
      <c r="I94" s="69"/>
      <c r="J94" s="69"/>
      <c r="K94" s="69"/>
      <c r="L94" s="69"/>
      <c r="M94" s="29">
        <f t="shared" si="19"/>
        <v>0</v>
      </c>
      <c r="N94" s="69"/>
      <c r="O94" s="69"/>
      <c r="P94" s="69"/>
      <c r="Q94" s="69"/>
      <c r="R94" s="69"/>
      <c r="S94" s="69"/>
      <c r="T94" s="69"/>
      <c r="U94" s="69">
        <v>70000</v>
      </c>
      <c r="V94" s="69"/>
      <c r="W94" s="69"/>
      <c r="X94" s="69"/>
      <c r="Y94" s="69"/>
      <c r="Z94" s="29">
        <f>500000</f>
        <v>500000</v>
      </c>
      <c r="AA94" s="29"/>
      <c r="AB94" s="29">
        <f t="shared" si="20"/>
        <v>0</v>
      </c>
      <c r="AC94" s="29"/>
      <c r="AD94" s="29"/>
      <c r="AE94" s="29">
        <f t="shared" si="21"/>
        <v>1384847</v>
      </c>
      <c r="AF94" s="69"/>
      <c r="AG94" s="69">
        <f>1339500</f>
        <v>1339500</v>
      </c>
      <c r="AH94" s="69">
        <v>45347</v>
      </c>
      <c r="AI94" s="69"/>
      <c r="AJ94" s="69"/>
      <c r="AK94" s="69"/>
      <c r="AL94" s="69"/>
      <c r="AM94" s="29">
        <f t="shared" si="22"/>
        <v>0</v>
      </c>
      <c r="AN94" s="29"/>
      <c r="AO94" s="29"/>
      <c r="AP94" s="29">
        <f t="shared" si="23"/>
        <v>201915</v>
      </c>
      <c r="AQ94" s="69">
        <v>67446</v>
      </c>
      <c r="AR94" s="69">
        <v>66933</v>
      </c>
      <c r="AS94" s="69">
        <v>53976</v>
      </c>
      <c r="AT94" s="69">
        <v>13560</v>
      </c>
      <c r="AU94" s="69"/>
      <c r="AV94" s="69"/>
      <c r="AW94" s="69"/>
      <c r="AX94" s="69"/>
      <c r="AY94" s="69"/>
      <c r="AZ94" s="69"/>
      <c r="BA94" s="69"/>
      <c r="BB94" s="69"/>
      <c r="BC94" s="69"/>
      <c r="BD94" s="69"/>
      <c r="BE94" s="69"/>
      <c r="BF94" s="69"/>
      <c r="BG94" s="69">
        <f>200000+25000</f>
        <v>225000</v>
      </c>
      <c r="BH94" s="69"/>
      <c r="BI94" s="69"/>
      <c r="BJ94" s="69"/>
      <c r="BK94" s="69"/>
      <c r="BL94" s="69"/>
      <c r="BM94" s="69"/>
      <c r="BN94" s="69"/>
      <c r="BO94" s="69"/>
      <c r="BP94" s="69"/>
      <c r="BQ94" s="69"/>
      <c r="BR94" s="69"/>
      <c r="BS94" s="29"/>
      <c r="BT94" s="29"/>
      <c r="BU94" s="29"/>
      <c r="BV94" s="29"/>
      <c r="BW94" s="29"/>
      <c r="BX94" s="29"/>
      <c r="BY94" s="29">
        <f t="shared" si="24"/>
        <v>2381762</v>
      </c>
      <c r="BZ94" s="29"/>
      <c r="CA94" s="29"/>
      <c r="CB94" s="29"/>
      <c r="CC94" s="69"/>
      <c r="CD94" s="69"/>
      <c r="CE94" s="69"/>
      <c r="CF94" s="69"/>
      <c r="CG94" s="69"/>
      <c r="CH94" s="69">
        <f>7300</f>
        <v>7300</v>
      </c>
      <c r="CI94" s="69"/>
      <c r="CJ94" s="69"/>
      <c r="CK94" s="69"/>
      <c r="CL94" s="69"/>
      <c r="CM94" s="69"/>
      <c r="CN94" s="69"/>
      <c r="CO94" s="69"/>
      <c r="CP94" s="69"/>
      <c r="CQ94" s="69"/>
      <c r="CR94" s="69"/>
      <c r="CS94" s="69"/>
      <c r="CT94" s="29"/>
      <c r="CU94" s="29"/>
      <c r="CV94" s="29"/>
      <c r="CW94" s="29">
        <f t="shared" si="18"/>
        <v>7300</v>
      </c>
      <c r="CX94" s="69"/>
    </row>
    <row r="95" spans="1:102" ht="59.25" customHeight="1" x14ac:dyDescent="0.8">
      <c r="A95" s="12" t="s">
        <v>166</v>
      </c>
      <c r="B95" s="13" t="s">
        <v>148</v>
      </c>
      <c r="C95" s="69"/>
      <c r="D95" s="69"/>
      <c r="E95" s="69"/>
      <c r="F95" s="69"/>
      <c r="G95" s="69"/>
      <c r="H95" s="69"/>
      <c r="I95" s="69"/>
      <c r="J95" s="69"/>
      <c r="K95" s="69"/>
      <c r="L95" s="69"/>
      <c r="M95" s="29">
        <f t="shared" si="19"/>
        <v>0</v>
      </c>
      <c r="N95" s="69"/>
      <c r="O95" s="69"/>
      <c r="P95" s="69"/>
      <c r="Q95" s="69"/>
      <c r="R95" s="69"/>
      <c r="S95" s="69"/>
      <c r="T95" s="69"/>
      <c r="U95" s="69"/>
      <c r="V95" s="69"/>
      <c r="W95" s="69"/>
      <c r="X95" s="69"/>
      <c r="Y95" s="69"/>
      <c r="Z95" s="29"/>
      <c r="AA95" s="29"/>
      <c r="AB95" s="29">
        <f t="shared" si="20"/>
        <v>0</v>
      </c>
      <c r="AC95" s="29"/>
      <c r="AD95" s="29"/>
      <c r="AE95" s="29">
        <f t="shared" si="21"/>
        <v>45347</v>
      </c>
      <c r="AF95" s="69"/>
      <c r="AG95" s="69"/>
      <c r="AH95" s="69">
        <v>45347</v>
      </c>
      <c r="AI95" s="69"/>
      <c r="AJ95" s="69"/>
      <c r="AK95" s="69"/>
      <c r="AL95" s="69"/>
      <c r="AM95" s="29">
        <f t="shared" si="22"/>
        <v>0</v>
      </c>
      <c r="AN95" s="29"/>
      <c r="AO95" s="29"/>
      <c r="AP95" s="29">
        <f t="shared" si="23"/>
        <v>163605</v>
      </c>
      <c r="AQ95" s="69">
        <v>67446</v>
      </c>
      <c r="AR95" s="69">
        <v>36963</v>
      </c>
      <c r="AS95" s="69">
        <v>53976</v>
      </c>
      <c r="AT95" s="69">
        <v>5220</v>
      </c>
      <c r="AU95" s="69"/>
      <c r="AV95" s="69"/>
      <c r="AW95" s="69"/>
      <c r="AX95" s="69"/>
      <c r="AY95" s="69"/>
      <c r="AZ95" s="69"/>
      <c r="BA95" s="69"/>
      <c r="BB95" s="69"/>
      <c r="BC95" s="69"/>
      <c r="BD95" s="69"/>
      <c r="BE95" s="69"/>
      <c r="BF95" s="69"/>
      <c r="BG95" s="69">
        <f>395000-225000+90000</f>
        <v>260000</v>
      </c>
      <c r="BH95" s="69"/>
      <c r="BI95" s="69"/>
      <c r="BJ95" s="69"/>
      <c r="BK95" s="69"/>
      <c r="BL95" s="69"/>
      <c r="BM95" s="69"/>
      <c r="BN95" s="69"/>
      <c r="BO95" s="69"/>
      <c r="BP95" s="69"/>
      <c r="BQ95" s="69"/>
      <c r="BR95" s="69">
        <f>800000</f>
        <v>800000</v>
      </c>
      <c r="BS95" s="29"/>
      <c r="BT95" s="29"/>
      <c r="BU95" s="29"/>
      <c r="BV95" s="29"/>
      <c r="BW95" s="29"/>
      <c r="BX95" s="29"/>
      <c r="BY95" s="29">
        <f t="shared" si="24"/>
        <v>1268952</v>
      </c>
      <c r="BZ95" s="29"/>
      <c r="CA95" s="29"/>
      <c r="CB95" s="29"/>
      <c r="CC95" s="69"/>
      <c r="CD95" s="69"/>
      <c r="CE95" s="69"/>
      <c r="CF95" s="69"/>
      <c r="CG95" s="69"/>
      <c r="CH95" s="69">
        <f>3700</f>
        <v>3700</v>
      </c>
      <c r="CI95" s="69"/>
      <c r="CJ95" s="69"/>
      <c r="CK95" s="69"/>
      <c r="CL95" s="69"/>
      <c r="CM95" s="69"/>
      <c r="CN95" s="69"/>
      <c r="CO95" s="69"/>
      <c r="CP95" s="69"/>
      <c r="CQ95" s="69"/>
      <c r="CR95" s="69"/>
      <c r="CS95" s="69"/>
      <c r="CT95" s="29"/>
      <c r="CU95" s="29"/>
      <c r="CV95" s="29"/>
      <c r="CW95" s="29">
        <f t="shared" si="18"/>
        <v>3700</v>
      </c>
      <c r="CX95" s="69"/>
    </row>
    <row r="96" spans="1:102" ht="55.5" customHeight="1" x14ac:dyDescent="0.8">
      <c r="A96" s="12" t="s">
        <v>176</v>
      </c>
      <c r="B96" s="13" t="s">
        <v>154</v>
      </c>
      <c r="C96" s="69"/>
      <c r="D96" s="69"/>
      <c r="E96" s="69"/>
      <c r="F96" s="69"/>
      <c r="G96" s="69"/>
      <c r="H96" s="69"/>
      <c r="I96" s="69"/>
      <c r="J96" s="69"/>
      <c r="K96" s="69"/>
      <c r="L96" s="69"/>
      <c r="M96" s="29">
        <f t="shared" si="19"/>
        <v>0</v>
      </c>
      <c r="N96" s="69"/>
      <c r="O96" s="69"/>
      <c r="P96" s="69"/>
      <c r="Q96" s="69"/>
      <c r="R96" s="69"/>
      <c r="S96" s="69"/>
      <c r="T96" s="69"/>
      <c r="U96" s="69"/>
      <c r="V96" s="69"/>
      <c r="W96" s="69"/>
      <c r="X96" s="69"/>
      <c r="Y96" s="69"/>
      <c r="Z96" s="29"/>
      <c r="AA96" s="29"/>
      <c r="AB96" s="29">
        <f t="shared" si="20"/>
        <v>225938</v>
      </c>
      <c r="AC96" s="29"/>
      <c r="AD96" s="110">
        <v>225938</v>
      </c>
      <c r="AE96" s="29">
        <f t="shared" si="21"/>
        <v>90693</v>
      </c>
      <c r="AF96" s="69"/>
      <c r="AG96" s="69"/>
      <c r="AH96" s="69">
        <v>90693</v>
      </c>
      <c r="AI96" s="69"/>
      <c r="AJ96" s="69"/>
      <c r="AK96" s="69"/>
      <c r="AL96" s="69"/>
      <c r="AM96" s="29">
        <f t="shared" si="22"/>
        <v>407261</v>
      </c>
      <c r="AN96" s="104">
        <f>948941-541680</f>
        <v>407261</v>
      </c>
      <c r="AO96" s="29"/>
      <c r="AP96" s="29">
        <f t="shared" si="23"/>
        <v>364741</v>
      </c>
      <c r="AQ96" s="69">
        <v>134892</v>
      </c>
      <c r="AR96" s="69">
        <v>94905</v>
      </c>
      <c r="AS96" s="69">
        <v>125944</v>
      </c>
      <c r="AT96" s="69">
        <v>9000</v>
      </c>
      <c r="AU96" s="69"/>
      <c r="AV96" s="69"/>
      <c r="AW96" s="69"/>
      <c r="AX96" s="69"/>
      <c r="AY96" s="69"/>
      <c r="AZ96" s="69"/>
      <c r="BA96" s="69"/>
      <c r="BB96" s="69"/>
      <c r="BC96" s="69"/>
      <c r="BD96" s="69"/>
      <c r="BE96" s="69"/>
      <c r="BF96" s="69"/>
      <c r="BG96" s="69">
        <f>425000-75000+50000</f>
        <v>400000</v>
      </c>
      <c r="BH96" s="69"/>
      <c r="BI96" s="69"/>
      <c r="BJ96" s="69"/>
      <c r="BK96" s="69"/>
      <c r="BL96" s="69"/>
      <c r="BM96" s="69"/>
      <c r="BN96" s="69"/>
      <c r="BO96" s="69"/>
      <c r="BP96" s="69"/>
      <c r="BQ96" s="69"/>
      <c r="BR96" s="69"/>
      <c r="BS96" s="29"/>
      <c r="BT96" s="29"/>
      <c r="BU96" s="29"/>
      <c r="BV96" s="29"/>
      <c r="BW96" s="29"/>
      <c r="BX96" s="29">
        <f>250000</f>
        <v>250000</v>
      </c>
      <c r="BY96" s="29">
        <f t="shared" si="24"/>
        <v>1738633</v>
      </c>
      <c r="BZ96" s="29"/>
      <c r="CA96" s="29"/>
      <c r="CB96" s="29"/>
      <c r="CC96" s="69"/>
      <c r="CD96" s="69">
        <v>150000</v>
      </c>
      <c r="CE96" s="69"/>
      <c r="CF96" s="69"/>
      <c r="CG96" s="69"/>
      <c r="CH96" s="69">
        <f>11600</f>
        <v>11600</v>
      </c>
      <c r="CI96" s="69"/>
      <c r="CJ96" s="69"/>
      <c r="CK96" s="69"/>
      <c r="CL96" s="69"/>
      <c r="CM96" s="69"/>
      <c r="CN96" s="69"/>
      <c r="CO96" s="69"/>
      <c r="CP96" s="69"/>
      <c r="CQ96" s="69"/>
      <c r="CR96" s="69"/>
      <c r="CS96" s="69"/>
      <c r="CT96" s="29"/>
      <c r="CU96" s="29"/>
      <c r="CV96" s="29"/>
      <c r="CW96" s="29">
        <f t="shared" si="18"/>
        <v>161600</v>
      </c>
      <c r="CX96" s="69"/>
    </row>
    <row r="97" spans="1:102" ht="59.25" customHeight="1" x14ac:dyDescent="0.8">
      <c r="A97" s="12" t="s">
        <v>253</v>
      </c>
      <c r="B97" s="13" t="s">
        <v>330</v>
      </c>
      <c r="C97" s="69"/>
      <c r="D97" s="113">
        <f>697900</f>
        <v>697900</v>
      </c>
      <c r="E97" s="69"/>
      <c r="F97" s="69"/>
      <c r="G97" s="69"/>
      <c r="H97" s="69"/>
      <c r="I97" s="69"/>
      <c r="J97" s="69"/>
      <c r="K97" s="69"/>
      <c r="L97" s="69"/>
      <c r="M97" s="29">
        <f t="shared" si="19"/>
        <v>0</v>
      </c>
      <c r="N97" s="69"/>
      <c r="O97" s="69"/>
      <c r="P97" s="69"/>
      <c r="Q97" s="69"/>
      <c r="R97" s="69"/>
      <c r="S97" s="69"/>
      <c r="T97" s="69"/>
      <c r="U97" s="69">
        <f>46250</f>
        <v>46250</v>
      </c>
      <c r="V97" s="69"/>
      <c r="W97" s="69"/>
      <c r="X97" s="69"/>
      <c r="Y97" s="69"/>
      <c r="Z97" s="29"/>
      <c r="AA97" s="29"/>
      <c r="AB97" s="29">
        <f t="shared" si="20"/>
        <v>225938</v>
      </c>
      <c r="AC97" s="29"/>
      <c r="AD97" s="110">
        <v>225938</v>
      </c>
      <c r="AE97" s="29">
        <f t="shared" si="21"/>
        <v>790674</v>
      </c>
      <c r="AF97" s="69"/>
      <c r="AG97" s="69">
        <v>669750</v>
      </c>
      <c r="AH97" s="69">
        <v>120924</v>
      </c>
      <c r="AI97" s="69"/>
      <c r="AJ97" s="69"/>
      <c r="AK97" s="69"/>
      <c r="AL97" s="69"/>
      <c r="AM97" s="29">
        <f t="shared" si="22"/>
        <v>29902</v>
      </c>
      <c r="AN97" s="104">
        <f>61222-31320</f>
        <v>29902</v>
      </c>
      <c r="AO97" s="29"/>
      <c r="AP97" s="29">
        <f t="shared" si="23"/>
        <v>386409</v>
      </c>
      <c r="AQ97" s="69">
        <v>179856</v>
      </c>
      <c r="AR97" s="69">
        <v>142857</v>
      </c>
      <c r="AS97" s="69">
        <v>53976</v>
      </c>
      <c r="AT97" s="69">
        <v>9720</v>
      </c>
      <c r="AU97" s="69"/>
      <c r="AV97" s="69"/>
      <c r="AW97" s="69"/>
      <c r="AX97" s="69"/>
      <c r="AY97" s="69"/>
      <c r="AZ97" s="69"/>
      <c r="BA97" s="69"/>
      <c r="BB97" s="69"/>
      <c r="BC97" s="69"/>
      <c r="BD97" s="69"/>
      <c r="BE97" s="69"/>
      <c r="BF97" s="69">
        <f>400000+350000</f>
        <v>750000</v>
      </c>
      <c r="BG97" s="69">
        <v>215000</v>
      </c>
      <c r="BH97" s="69"/>
      <c r="BI97" s="69"/>
      <c r="BJ97" s="69"/>
      <c r="BK97" s="69"/>
      <c r="BL97" s="69"/>
      <c r="BM97" s="69"/>
      <c r="BN97" s="69"/>
      <c r="BO97" s="69"/>
      <c r="BP97" s="69"/>
      <c r="BQ97" s="69"/>
      <c r="BR97" s="69"/>
      <c r="BS97" s="29"/>
      <c r="BT97" s="29"/>
      <c r="BU97" s="29"/>
      <c r="BV97" s="29"/>
      <c r="BW97" s="29"/>
      <c r="BX97" s="29"/>
      <c r="BY97" s="29">
        <f t="shared" si="24"/>
        <v>3142073</v>
      </c>
      <c r="BZ97" s="29"/>
      <c r="CA97" s="29"/>
      <c r="CB97" s="29"/>
      <c r="CC97" s="69"/>
      <c r="CD97" s="69"/>
      <c r="CE97" s="69"/>
      <c r="CF97" s="69"/>
      <c r="CG97" s="69"/>
      <c r="CH97" s="69">
        <v>13200</v>
      </c>
      <c r="CI97" s="69"/>
      <c r="CJ97" s="69"/>
      <c r="CK97" s="69"/>
      <c r="CL97" s="69"/>
      <c r="CM97" s="69"/>
      <c r="CN97" s="69"/>
      <c r="CO97" s="69"/>
      <c r="CP97" s="69"/>
      <c r="CQ97" s="69"/>
      <c r="CR97" s="69"/>
      <c r="CS97" s="69"/>
      <c r="CT97" s="29"/>
      <c r="CU97" s="29"/>
      <c r="CV97" s="29"/>
      <c r="CW97" s="29">
        <f t="shared" si="18"/>
        <v>13200</v>
      </c>
      <c r="CX97" s="69"/>
    </row>
    <row r="98" spans="1:102" ht="63" customHeight="1" x14ac:dyDescent="0.8">
      <c r="A98" s="12" t="s">
        <v>177</v>
      </c>
      <c r="B98" s="13" t="s">
        <v>155</v>
      </c>
      <c r="C98" s="69"/>
      <c r="D98" s="69"/>
      <c r="E98" s="69"/>
      <c r="F98" s="69"/>
      <c r="G98" s="69"/>
      <c r="H98" s="69"/>
      <c r="I98" s="69"/>
      <c r="J98" s="69"/>
      <c r="K98" s="69"/>
      <c r="L98" s="69"/>
      <c r="M98" s="29">
        <f t="shared" si="19"/>
        <v>0</v>
      </c>
      <c r="N98" s="69"/>
      <c r="O98" s="69"/>
      <c r="P98" s="69"/>
      <c r="Q98" s="69"/>
      <c r="R98" s="69"/>
      <c r="S98" s="69"/>
      <c r="T98" s="69"/>
      <c r="U98" s="69"/>
      <c r="V98" s="69"/>
      <c r="W98" s="69"/>
      <c r="X98" s="69"/>
      <c r="Y98" s="69"/>
      <c r="Z98" s="29"/>
      <c r="AA98" s="29"/>
      <c r="AB98" s="29">
        <f t="shared" si="20"/>
        <v>0</v>
      </c>
      <c r="AC98" s="29"/>
      <c r="AD98" s="29"/>
      <c r="AE98" s="29">
        <f t="shared" si="21"/>
        <v>730212</v>
      </c>
      <c r="AF98" s="69"/>
      <c r="AG98" s="69">
        <v>669750</v>
      </c>
      <c r="AH98" s="69">
        <v>60462</v>
      </c>
      <c r="AI98" s="69"/>
      <c r="AJ98" s="69"/>
      <c r="AK98" s="69"/>
      <c r="AL98" s="69"/>
      <c r="AM98" s="29">
        <f t="shared" si="22"/>
        <v>0</v>
      </c>
      <c r="AN98" s="29"/>
      <c r="AO98" s="29"/>
      <c r="AP98" s="29">
        <f t="shared" si="23"/>
        <v>239785</v>
      </c>
      <c r="AQ98" s="69">
        <v>89928</v>
      </c>
      <c r="AR98" s="69">
        <v>70929</v>
      </c>
      <c r="AS98" s="69">
        <v>71968</v>
      </c>
      <c r="AT98" s="69">
        <v>6960</v>
      </c>
      <c r="AU98" s="69"/>
      <c r="AV98" s="69"/>
      <c r="AW98" s="69"/>
      <c r="AX98" s="69"/>
      <c r="AY98" s="69"/>
      <c r="AZ98" s="69"/>
      <c r="BA98" s="69"/>
      <c r="BB98" s="69"/>
      <c r="BC98" s="69"/>
      <c r="BD98" s="69"/>
      <c r="BE98" s="69"/>
      <c r="BF98" s="69">
        <f>350000</f>
        <v>350000</v>
      </c>
      <c r="BG98" s="69">
        <f>390000+30000</f>
        <v>420000</v>
      </c>
      <c r="BH98" s="69"/>
      <c r="BI98" s="69"/>
      <c r="BJ98" s="69"/>
      <c r="BK98" s="69"/>
      <c r="BL98" s="69"/>
      <c r="BM98" s="69"/>
      <c r="BN98" s="69"/>
      <c r="BO98" s="69"/>
      <c r="BP98" s="69"/>
      <c r="BQ98" s="69"/>
      <c r="BR98" s="69"/>
      <c r="BS98" s="29"/>
      <c r="BT98" s="29"/>
      <c r="BU98" s="29"/>
      <c r="BV98" s="29"/>
      <c r="BW98" s="29"/>
      <c r="BX98" s="29"/>
      <c r="BY98" s="29">
        <f t="shared" si="24"/>
        <v>1739997</v>
      </c>
      <c r="BZ98" s="29"/>
      <c r="CA98" s="29"/>
      <c r="CB98" s="29"/>
      <c r="CC98" s="69"/>
      <c r="CD98" s="69"/>
      <c r="CE98" s="69"/>
      <c r="CF98" s="69"/>
      <c r="CG98" s="69"/>
      <c r="CH98" s="69">
        <f>5300</f>
        <v>5300</v>
      </c>
      <c r="CI98" s="69"/>
      <c r="CJ98" s="69"/>
      <c r="CK98" s="69"/>
      <c r="CL98" s="69"/>
      <c r="CM98" s="69"/>
      <c r="CN98" s="69"/>
      <c r="CO98" s="69"/>
      <c r="CP98" s="69"/>
      <c r="CQ98" s="69"/>
      <c r="CR98" s="69"/>
      <c r="CS98" s="69"/>
      <c r="CT98" s="29"/>
      <c r="CU98" s="29"/>
      <c r="CV98" s="29"/>
      <c r="CW98" s="29">
        <f t="shared" si="18"/>
        <v>5300</v>
      </c>
      <c r="CX98" s="69"/>
    </row>
    <row r="99" spans="1:102" ht="55.5" customHeight="1" x14ac:dyDescent="0.8">
      <c r="A99" s="12" t="s">
        <v>168</v>
      </c>
      <c r="B99" s="13" t="s">
        <v>150</v>
      </c>
      <c r="C99" s="69"/>
      <c r="D99" s="69"/>
      <c r="E99" s="69"/>
      <c r="F99" s="69"/>
      <c r="G99" s="69"/>
      <c r="H99" s="69"/>
      <c r="I99" s="69"/>
      <c r="J99" s="69"/>
      <c r="K99" s="69"/>
      <c r="L99" s="69"/>
      <c r="M99" s="29">
        <f t="shared" si="19"/>
        <v>0</v>
      </c>
      <c r="N99" s="69"/>
      <c r="O99" s="69"/>
      <c r="P99" s="69"/>
      <c r="Q99" s="69"/>
      <c r="R99" s="69"/>
      <c r="S99" s="69"/>
      <c r="T99" s="69"/>
      <c r="U99" s="69"/>
      <c r="V99" s="69"/>
      <c r="W99" s="69"/>
      <c r="X99" s="69"/>
      <c r="Y99" s="69"/>
      <c r="Z99" s="29"/>
      <c r="AA99" s="29"/>
      <c r="AB99" s="29">
        <f t="shared" si="20"/>
        <v>112969</v>
      </c>
      <c r="AC99" s="29"/>
      <c r="AD99" s="110">
        <v>112969</v>
      </c>
      <c r="AE99" s="29">
        <f t="shared" si="21"/>
        <v>30231</v>
      </c>
      <c r="AF99" s="69"/>
      <c r="AG99" s="69"/>
      <c r="AH99" s="69">
        <v>30231</v>
      </c>
      <c r="AI99" s="69"/>
      <c r="AJ99" s="69"/>
      <c r="AK99" s="69"/>
      <c r="AL99" s="69"/>
      <c r="AM99" s="29">
        <f t="shared" si="22"/>
        <v>22811</v>
      </c>
      <c r="AN99" s="104">
        <f>30611-7800</f>
        <v>22811</v>
      </c>
      <c r="AO99" s="29"/>
      <c r="AP99" s="29">
        <f t="shared" si="23"/>
        <v>124628</v>
      </c>
      <c r="AQ99" s="69">
        <v>44964</v>
      </c>
      <c r="AR99" s="69">
        <v>39960</v>
      </c>
      <c r="AS99" s="69">
        <v>35984</v>
      </c>
      <c r="AT99" s="69">
        <v>3720</v>
      </c>
      <c r="AU99" s="69"/>
      <c r="AV99" s="69"/>
      <c r="AW99" s="69"/>
      <c r="AX99" s="69"/>
      <c r="AY99" s="69"/>
      <c r="AZ99" s="69"/>
      <c r="BA99" s="69"/>
      <c r="BB99" s="69"/>
      <c r="BC99" s="69"/>
      <c r="BD99" s="69"/>
      <c r="BE99" s="69"/>
      <c r="BF99" s="69">
        <f>250000</f>
        <v>250000</v>
      </c>
      <c r="BG99" s="69">
        <v>17500</v>
      </c>
      <c r="BH99" s="69"/>
      <c r="BI99" s="69"/>
      <c r="BJ99" s="69"/>
      <c r="BK99" s="69"/>
      <c r="BL99" s="69"/>
      <c r="BM99" s="69"/>
      <c r="BN99" s="69"/>
      <c r="BO99" s="69"/>
      <c r="BP99" s="69"/>
      <c r="BQ99" s="69"/>
      <c r="BR99" s="69"/>
      <c r="BS99" s="29"/>
      <c r="BT99" s="29"/>
      <c r="BU99" s="29"/>
      <c r="BV99" s="29"/>
      <c r="BW99" s="29"/>
      <c r="BX99" s="29"/>
      <c r="BY99" s="29">
        <f t="shared" si="24"/>
        <v>558139</v>
      </c>
      <c r="BZ99" s="29"/>
      <c r="CA99" s="29"/>
      <c r="CB99" s="29"/>
      <c r="CC99" s="69"/>
      <c r="CD99" s="69"/>
      <c r="CE99" s="69"/>
      <c r="CF99" s="69"/>
      <c r="CG99" s="69"/>
      <c r="CH99" s="69">
        <v>3500</v>
      </c>
      <c r="CI99" s="69"/>
      <c r="CJ99" s="69"/>
      <c r="CK99" s="69"/>
      <c r="CL99" s="69"/>
      <c r="CM99" s="69"/>
      <c r="CN99" s="69"/>
      <c r="CO99" s="69"/>
      <c r="CP99" s="69"/>
      <c r="CQ99" s="69"/>
      <c r="CR99" s="69"/>
      <c r="CS99" s="69"/>
      <c r="CT99" s="29"/>
      <c r="CU99" s="29"/>
      <c r="CV99" s="29"/>
      <c r="CW99" s="29">
        <f t="shared" si="18"/>
        <v>3500</v>
      </c>
      <c r="CX99" s="69"/>
    </row>
    <row r="100" spans="1:102" ht="63" customHeight="1" x14ac:dyDescent="0.8">
      <c r="A100" s="12" t="s">
        <v>167</v>
      </c>
      <c r="B100" s="13" t="s">
        <v>149</v>
      </c>
      <c r="C100" s="69"/>
      <c r="D100" s="69"/>
      <c r="E100" s="69"/>
      <c r="F100" s="69"/>
      <c r="G100" s="69"/>
      <c r="H100" s="69"/>
      <c r="I100" s="69"/>
      <c r="J100" s="69"/>
      <c r="K100" s="69"/>
      <c r="L100" s="69"/>
      <c r="M100" s="29">
        <f t="shared" si="19"/>
        <v>0</v>
      </c>
      <c r="N100" s="69"/>
      <c r="O100" s="69"/>
      <c r="P100" s="69"/>
      <c r="Q100" s="69"/>
      <c r="R100" s="69"/>
      <c r="S100" s="69"/>
      <c r="T100" s="69"/>
      <c r="U100" s="69"/>
      <c r="V100" s="69"/>
      <c r="W100" s="69"/>
      <c r="X100" s="69"/>
      <c r="Y100" s="69"/>
      <c r="Z100" s="29"/>
      <c r="AA100" s="29"/>
      <c r="AB100" s="29">
        <f t="shared" si="20"/>
        <v>0</v>
      </c>
      <c r="AC100" s="29"/>
      <c r="AD100" s="29"/>
      <c r="AE100" s="29">
        <f t="shared" si="21"/>
        <v>1354616</v>
      </c>
      <c r="AF100" s="69"/>
      <c r="AG100" s="69">
        <f>1339500</f>
        <v>1339500</v>
      </c>
      <c r="AH100" s="69">
        <v>15116</v>
      </c>
      <c r="AI100" s="69"/>
      <c r="AJ100" s="69"/>
      <c r="AK100" s="69"/>
      <c r="AL100" s="69"/>
      <c r="AM100" s="29">
        <f t="shared" si="22"/>
        <v>0</v>
      </c>
      <c r="AN100" s="29"/>
      <c r="AO100" s="29"/>
      <c r="AP100" s="29">
        <f t="shared" si="23"/>
        <v>100225</v>
      </c>
      <c r="AQ100" s="69">
        <v>44964</v>
      </c>
      <c r="AR100" s="69">
        <v>30969</v>
      </c>
      <c r="AS100" s="69">
        <v>17992</v>
      </c>
      <c r="AT100" s="69">
        <v>6300</v>
      </c>
      <c r="AU100" s="69"/>
      <c r="AV100" s="69"/>
      <c r="AW100" s="69"/>
      <c r="AX100" s="69"/>
      <c r="AY100" s="69"/>
      <c r="AZ100" s="69"/>
      <c r="BA100" s="69"/>
      <c r="BB100" s="69"/>
      <c r="BC100" s="69"/>
      <c r="BD100" s="69"/>
      <c r="BE100" s="69"/>
      <c r="BF100" s="69"/>
      <c r="BG100" s="69">
        <v>270000</v>
      </c>
      <c r="BH100" s="69"/>
      <c r="BI100" s="69"/>
      <c r="BJ100" s="69"/>
      <c r="BK100" s="69"/>
      <c r="BL100" s="69"/>
      <c r="BM100" s="69"/>
      <c r="BN100" s="69"/>
      <c r="BO100" s="69"/>
      <c r="BP100" s="69"/>
      <c r="BQ100" s="69"/>
      <c r="BR100" s="69"/>
      <c r="BS100" s="29"/>
      <c r="BT100" s="29"/>
      <c r="BU100" s="29"/>
      <c r="BV100" s="29"/>
      <c r="BW100" s="29"/>
      <c r="BX100" s="29"/>
      <c r="BY100" s="29">
        <f t="shared" si="24"/>
        <v>1724841</v>
      </c>
      <c r="BZ100" s="29"/>
      <c r="CA100" s="29"/>
      <c r="CB100" s="29"/>
      <c r="CC100" s="69"/>
      <c r="CD100" s="69">
        <v>2500000</v>
      </c>
      <c r="CE100" s="69"/>
      <c r="CF100" s="69"/>
      <c r="CG100" s="69"/>
      <c r="CH100" s="69">
        <v>5100</v>
      </c>
      <c r="CI100" s="69"/>
      <c r="CJ100" s="69"/>
      <c r="CK100" s="69"/>
      <c r="CL100" s="69"/>
      <c r="CM100" s="69"/>
      <c r="CN100" s="69"/>
      <c r="CO100" s="69"/>
      <c r="CP100" s="69"/>
      <c r="CQ100" s="69"/>
      <c r="CR100" s="69"/>
      <c r="CS100" s="69"/>
      <c r="CT100" s="29"/>
      <c r="CU100" s="29"/>
      <c r="CV100" s="29"/>
      <c r="CW100" s="29">
        <f t="shared" si="18"/>
        <v>2505100</v>
      </c>
      <c r="CX100" s="69"/>
    </row>
    <row r="101" spans="1:102" ht="63" customHeight="1" x14ac:dyDescent="0.8">
      <c r="A101" s="12" t="s">
        <v>217</v>
      </c>
      <c r="B101" s="13" t="s">
        <v>158</v>
      </c>
      <c r="C101" s="69"/>
      <c r="D101" s="69"/>
      <c r="E101" s="69"/>
      <c r="F101" s="69"/>
      <c r="G101" s="69"/>
      <c r="H101" s="69"/>
      <c r="I101" s="69"/>
      <c r="J101" s="69"/>
      <c r="K101" s="69"/>
      <c r="L101" s="69"/>
      <c r="M101" s="29">
        <f t="shared" si="19"/>
        <v>0</v>
      </c>
      <c r="N101" s="69"/>
      <c r="O101" s="69"/>
      <c r="P101" s="69"/>
      <c r="Q101" s="69"/>
      <c r="R101" s="69"/>
      <c r="S101" s="69"/>
      <c r="T101" s="69"/>
      <c r="U101" s="69"/>
      <c r="V101" s="69"/>
      <c r="W101" s="69"/>
      <c r="X101" s="69"/>
      <c r="Y101" s="69"/>
      <c r="Z101" s="29">
        <f>500000-500000</f>
        <v>0</v>
      </c>
      <c r="AA101" s="29">
        <f>148957</f>
        <v>148957</v>
      </c>
      <c r="AB101" s="29">
        <f t="shared" si="20"/>
        <v>0</v>
      </c>
      <c r="AC101" s="29"/>
      <c r="AD101" s="29"/>
      <c r="AE101" s="29">
        <f t="shared" si="21"/>
        <v>90693</v>
      </c>
      <c r="AF101" s="69"/>
      <c r="AG101" s="69"/>
      <c r="AH101" s="69">
        <v>90693</v>
      </c>
      <c r="AI101" s="69"/>
      <c r="AJ101" s="69"/>
      <c r="AK101" s="69"/>
      <c r="AL101" s="69"/>
      <c r="AM101" s="29">
        <f t="shared" si="22"/>
        <v>0</v>
      </c>
      <c r="AN101" s="29"/>
      <c r="AO101" s="29"/>
      <c r="AP101" s="29">
        <f t="shared" si="23"/>
        <v>489198</v>
      </c>
      <c r="AQ101" s="69">
        <v>202338</v>
      </c>
      <c r="AR101" s="69">
        <v>163836</v>
      </c>
      <c r="AS101" s="69">
        <v>107952</v>
      </c>
      <c r="AT101" s="69">
        <v>15072</v>
      </c>
      <c r="AU101" s="69"/>
      <c r="AV101" s="69"/>
      <c r="AW101" s="69"/>
      <c r="AX101" s="69"/>
      <c r="AY101" s="69"/>
      <c r="AZ101" s="69"/>
      <c r="BA101" s="69"/>
      <c r="BB101" s="69"/>
      <c r="BC101" s="69"/>
      <c r="BD101" s="69"/>
      <c r="BE101" s="69"/>
      <c r="BF101" s="69">
        <f>500000</f>
        <v>500000</v>
      </c>
      <c r="BG101" s="69">
        <f>568000+80000</f>
        <v>648000</v>
      </c>
      <c r="BH101" s="69"/>
      <c r="BI101" s="69"/>
      <c r="BJ101" s="69"/>
      <c r="BK101" s="69"/>
      <c r="BL101" s="69"/>
      <c r="BM101" s="69"/>
      <c r="BN101" s="69"/>
      <c r="BO101" s="69"/>
      <c r="BP101" s="69"/>
      <c r="BQ101" s="69"/>
      <c r="BR101" s="69"/>
      <c r="BS101" s="29"/>
      <c r="BT101" s="29"/>
      <c r="BU101" s="29"/>
      <c r="BV101" s="29"/>
      <c r="BW101" s="29"/>
      <c r="BX101" s="29"/>
      <c r="BY101" s="29">
        <f t="shared" si="24"/>
        <v>1876848</v>
      </c>
      <c r="BZ101" s="29"/>
      <c r="CA101" s="29"/>
      <c r="CB101" s="29"/>
      <c r="CC101" s="69"/>
      <c r="CD101" s="69"/>
      <c r="CE101" s="69"/>
      <c r="CF101" s="69"/>
      <c r="CG101" s="69"/>
      <c r="CH101" s="69">
        <v>13500</v>
      </c>
      <c r="CI101" s="69"/>
      <c r="CJ101" s="69"/>
      <c r="CK101" s="69"/>
      <c r="CL101" s="69"/>
      <c r="CM101" s="69"/>
      <c r="CN101" s="69"/>
      <c r="CO101" s="69"/>
      <c r="CP101" s="69"/>
      <c r="CQ101" s="69"/>
      <c r="CR101" s="69"/>
      <c r="CS101" s="69"/>
      <c r="CT101" s="29"/>
      <c r="CU101" s="29"/>
      <c r="CV101" s="29"/>
      <c r="CW101" s="29">
        <f t="shared" si="18"/>
        <v>13500</v>
      </c>
      <c r="CX101" s="69"/>
    </row>
    <row r="102" spans="1:102" ht="63" customHeight="1" x14ac:dyDescent="0.8">
      <c r="A102" s="12" t="s">
        <v>234</v>
      </c>
      <c r="B102" s="13" t="s">
        <v>235</v>
      </c>
      <c r="C102" s="69"/>
      <c r="D102" s="69"/>
      <c r="E102" s="69"/>
      <c r="F102" s="69"/>
      <c r="G102" s="69"/>
      <c r="H102" s="69"/>
      <c r="I102" s="69"/>
      <c r="J102" s="69">
        <f>300000+400137</f>
        <v>700137</v>
      </c>
      <c r="K102" s="69"/>
      <c r="L102" s="69"/>
      <c r="M102" s="29">
        <f t="shared" si="19"/>
        <v>0</v>
      </c>
      <c r="N102" s="69"/>
      <c r="O102" s="69"/>
      <c r="P102" s="69"/>
      <c r="Q102" s="69"/>
      <c r="R102" s="69"/>
      <c r="S102" s="69">
        <f>312053+26004+52008</f>
        <v>390065</v>
      </c>
      <c r="T102" s="69">
        <v>47056</v>
      </c>
      <c r="U102" s="69">
        <f>178299+30000</f>
        <v>208299</v>
      </c>
      <c r="V102" s="69"/>
      <c r="W102" s="69"/>
      <c r="X102" s="69"/>
      <c r="Y102" s="69"/>
      <c r="Z102" s="29">
        <f>500000</f>
        <v>500000</v>
      </c>
      <c r="AA102" s="29"/>
      <c r="AB102" s="29">
        <f t="shared" si="20"/>
        <v>0</v>
      </c>
      <c r="AC102" s="29"/>
      <c r="AD102" s="29"/>
      <c r="AE102" s="29">
        <f t="shared" si="21"/>
        <v>644347</v>
      </c>
      <c r="AF102" s="69">
        <v>102000</v>
      </c>
      <c r="AG102" s="69"/>
      <c r="AH102" s="69">
        <v>45347</v>
      </c>
      <c r="AI102" s="69"/>
      <c r="AJ102" s="69"/>
      <c r="AK102" s="69"/>
      <c r="AL102" s="69">
        <v>497000</v>
      </c>
      <c r="AM102" s="29">
        <f t="shared" si="22"/>
        <v>0</v>
      </c>
      <c r="AN102" s="29"/>
      <c r="AO102" s="29"/>
      <c r="AP102" s="29">
        <f t="shared" si="23"/>
        <v>183350</v>
      </c>
      <c r="AQ102" s="69">
        <v>67446</v>
      </c>
      <c r="AR102" s="69">
        <v>51948</v>
      </c>
      <c r="AS102" s="69">
        <v>53976</v>
      </c>
      <c r="AT102" s="69">
        <v>9980</v>
      </c>
      <c r="AU102" s="69"/>
      <c r="AV102" s="69"/>
      <c r="AW102" s="69"/>
      <c r="AX102" s="69"/>
      <c r="AY102" s="69"/>
      <c r="AZ102" s="69"/>
      <c r="BA102" s="69"/>
      <c r="BB102" s="69"/>
      <c r="BC102" s="69"/>
      <c r="BD102" s="69"/>
      <c r="BE102" s="69"/>
      <c r="BF102" s="69">
        <f>1500000+300000+250000+150000</f>
        <v>2200000</v>
      </c>
      <c r="BG102" s="69">
        <v>200000</v>
      </c>
      <c r="BH102" s="69"/>
      <c r="BI102" s="69"/>
      <c r="BJ102" s="69"/>
      <c r="BK102" s="69"/>
      <c r="BL102" s="69"/>
      <c r="BM102" s="69"/>
      <c r="BN102" s="69"/>
      <c r="BO102" s="69"/>
      <c r="BP102" s="69"/>
      <c r="BQ102" s="69"/>
      <c r="BR102" s="69">
        <f>770000</f>
        <v>770000</v>
      </c>
      <c r="BS102" s="29"/>
      <c r="BT102" s="29"/>
      <c r="BU102" s="29"/>
      <c r="BV102" s="29"/>
      <c r="BW102" s="29"/>
      <c r="BX102" s="29"/>
      <c r="BY102" s="29">
        <f t="shared" si="24"/>
        <v>5843254</v>
      </c>
      <c r="BZ102" s="29"/>
      <c r="CA102" s="29"/>
      <c r="CB102" s="29"/>
      <c r="CC102" s="69"/>
      <c r="CD102" s="69"/>
      <c r="CE102" s="69"/>
      <c r="CF102" s="69"/>
      <c r="CG102" s="69"/>
      <c r="CH102" s="69">
        <v>5800</v>
      </c>
      <c r="CI102" s="69"/>
      <c r="CJ102" s="69"/>
      <c r="CK102" s="69"/>
      <c r="CL102" s="69"/>
      <c r="CM102" s="69"/>
      <c r="CN102" s="69"/>
      <c r="CO102" s="69"/>
      <c r="CP102" s="69"/>
      <c r="CQ102" s="69"/>
      <c r="CR102" s="69"/>
      <c r="CS102" s="69"/>
      <c r="CT102" s="29"/>
      <c r="CU102" s="29"/>
      <c r="CV102" s="29"/>
      <c r="CW102" s="29">
        <f t="shared" si="18"/>
        <v>5800</v>
      </c>
      <c r="CX102" s="69"/>
    </row>
    <row r="103" spans="1:102" ht="59.25" x14ac:dyDescent="0.8">
      <c r="A103" s="12" t="s">
        <v>281</v>
      </c>
      <c r="B103" s="13" t="s">
        <v>279</v>
      </c>
      <c r="C103" s="69"/>
      <c r="D103" s="69"/>
      <c r="E103" s="69"/>
      <c r="F103" s="69"/>
      <c r="G103" s="69"/>
      <c r="H103" s="69"/>
      <c r="I103" s="69"/>
      <c r="J103" s="69"/>
      <c r="K103" s="69"/>
      <c r="L103" s="69"/>
      <c r="M103" s="29">
        <f t="shared" si="19"/>
        <v>0</v>
      </c>
      <c r="N103" s="69"/>
      <c r="O103" s="69"/>
      <c r="P103" s="69"/>
      <c r="Q103" s="69"/>
      <c r="R103" s="69"/>
      <c r="S103" s="69"/>
      <c r="T103" s="69"/>
      <c r="U103" s="69"/>
      <c r="V103" s="69"/>
      <c r="W103" s="69"/>
      <c r="X103" s="69"/>
      <c r="Y103" s="69"/>
      <c r="Z103" s="29"/>
      <c r="AA103" s="29"/>
      <c r="AB103" s="29">
        <f t="shared" si="20"/>
        <v>0</v>
      </c>
      <c r="AC103" s="29"/>
      <c r="AD103" s="29"/>
      <c r="AE103" s="29">
        <f t="shared" si="21"/>
        <v>15116</v>
      </c>
      <c r="AF103" s="69"/>
      <c r="AG103" s="69"/>
      <c r="AH103" s="69">
        <v>15116</v>
      </c>
      <c r="AI103" s="69"/>
      <c r="AJ103" s="69"/>
      <c r="AK103" s="69"/>
      <c r="AL103" s="69"/>
      <c r="AM103" s="29">
        <f t="shared" si="22"/>
        <v>0</v>
      </c>
      <c r="AN103" s="29"/>
      <c r="AO103" s="29"/>
      <c r="AP103" s="29">
        <f t="shared" si="23"/>
        <v>71944</v>
      </c>
      <c r="AQ103" s="69">
        <v>22482</v>
      </c>
      <c r="AR103" s="69">
        <v>29970</v>
      </c>
      <c r="AS103" s="69">
        <v>17992</v>
      </c>
      <c r="AT103" s="69">
        <v>1500</v>
      </c>
      <c r="AU103" s="69"/>
      <c r="AV103" s="69"/>
      <c r="AW103" s="69"/>
      <c r="AX103" s="69"/>
      <c r="AY103" s="69"/>
      <c r="AZ103" s="69"/>
      <c r="BA103" s="69"/>
      <c r="BB103" s="69"/>
      <c r="BC103" s="69"/>
      <c r="BD103" s="69"/>
      <c r="BE103" s="69"/>
      <c r="BF103" s="69"/>
      <c r="BG103" s="69">
        <f>25000</f>
        <v>25000</v>
      </c>
      <c r="BH103" s="69"/>
      <c r="BI103" s="69"/>
      <c r="BJ103" s="69"/>
      <c r="BK103" s="69"/>
      <c r="BL103" s="69"/>
      <c r="BM103" s="69"/>
      <c r="BN103" s="69"/>
      <c r="BO103" s="69"/>
      <c r="BP103" s="69"/>
      <c r="BQ103" s="69"/>
      <c r="BR103" s="69"/>
      <c r="BS103" s="29"/>
      <c r="BT103" s="29"/>
      <c r="BU103" s="29"/>
      <c r="BV103" s="29"/>
      <c r="BW103" s="29"/>
      <c r="BX103" s="29"/>
      <c r="BY103" s="29">
        <f t="shared" si="24"/>
        <v>112060</v>
      </c>
      <c r="BZ103" s="29"/>
      <c r="CA103" s="29"/>
      <c r="CB103" s="29"/>
      <c r="CC103" s="69"/>
      <c r="CD103" s="69"/>
      <c r="CE103" s="69"/>
      <c r="CF103" s="69"/>
      <c r="CG103" s="69"/>
      <c r="CH103" s="69">
        <v>3600</v>
      </c>
      <c r="CI103" s="69"/>
      <c r="CJ103" s="69"/>
      <c r="CK103" s="69"/>
      <c r="CL103" s="69"/>
      <c r="CM103" s="69"/>
      <c r="CN103" s="69"/>
      <c r="CO103" s="69"/>
      <c r="CP103" s="69"/>
      <c r="CQ103" s="69"/>
      <c r="CR103" s="69"/>
      <c r="CS103" s="69"/>
      <c r="CT103" s="29"/>
      <c r="CU103" s="29"/>
      <c r="CV103" s="29"/>
      <c r="CW103" s="29">
        <f t="shared" si="18"/>
        <v>3600</v>
      </c>
      <c r="CX103" s="69"/>
    </row>
    <row r="104" spans="1:102" ht="63" customHeight="1" x14ac:dyDescent="0.8">
      <c r="A104" s="12" t="s">
        <v>181</v>
      </c>
      <c r="B104" s="13" t="s">
        <v>201</v>
      </c>
      <c r="C104" s="69"/>
      <c r="D104" s="69"/>
      <c r="E104" s="69"/>
      <c r="F104" s="69"/>
      <c r="G104" s="69"/>
      <c r="H104" s="69"/>
      <c r="I104" s="69"/>
      <c r="J104" s="69"/>
      <c r="K104" s="69"/>
      <c r="L104" s="69"/>
      <c r="M104" s="29">
        <f t="shared" si="19"/>
        <v>62500</v>
      </c>
      <c r="N104" s="69">
        <v>62500</v>
      </c>
      <c r="O104" s="69"/>
      <c r="P104" s="69"/>
      <c r="Q104" s="69"/>
      <c r="R104" s="69"/>
      <c r="S104" s="69"/>
      <c r="T104" s="69"/>
      <c r="U104" s="69"/>
      <c r="V104" s="69"/>
      <c r="W104" s="69"/>
      <c r="X104" s="69"/>
      <c r="Y104" s="69"/>
      <c r="Z104" s="29"/>
      <c r="AA104" s="29"/>
      <c r="AB104" s="29">
        <f t="shared" si="20"/>
        <v>0</v>
      </c>
      <c r="AC104" s="29"/>
      <c r="AD104" s="29"/>
      <c r="AE104" s="29">
        <f t="shared" si="21"/>
        <v>30231</v>
      </c>
      <c r="AF104" s="69"/>
      <c r="AG104" s="69"/>
      <c r="AH104" s="69">
        <v>30231</v>
      </c>
      <c r="AI104" s="69"/>
      <c r="AJ104" s="69"/>
      <c r="AK104" s="69"/>
      <c r="AL104" s="69"/>
      <c r="AM104" s="29">
        <f t="shared" si="22"/>
        <v>0</v>
      </c>
      <c r="AN104" s="29"/>
      <c r="AO104" s="29"/>
      <c r="AP104" s="29">
        <f t="shared" si="23"/>
        <v>105208</v>
      </c>
      <c r="AQ104" s="69">
        <v>44964</v>
      </c>
      <c r="AR104" s="69">
        <v>19980</v>
      </c>
      <c r="AS104" s="69">
        <v>35984</v>
      </c>
      <c r="AT104" s="69">
        <v>4280</v>
      </c>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29"/>
      <c r="BT104" s="29"/>
      <c r="BU104" s="29"/>
      <c r="BV104" s="29"/>
      <c r="BW104" s="29"/>
      <c r="BX104" s="29"/>
      <c r="BY104" s="29">
        <f t="shared" si="24"/>
        <v>197939</v>
      </c>
      <c r="BZ104" s="29"/>
      <c r="CA104" s="29"/>
      <c r="CB104" s="29"/>
      <c r="CC104" s="69"/>
      <c r="CD104" s="69"/>
      <c r="CE104" s="69"/>
      <c r="CF104" s="69"/>
      <c r="CG104" s="69"/>
      <c r="CH104" s="69">
        <v>5600</v>
      </c>
      <c r="CI104" s="69"/>
      <c r="CJ104" s="69"/>
      <c r="CK104" s="69"/>
      <c r="CL104" s="69"/>
      <c r="CM104" s="69"/>
      <c r="CN104" s="69"/>
      <c r="CO104" s="69"/>
      <c r="CP104" s="69"/>
      <c r="CQ104" s="69"/>
      <c r="CR104" s="69"/>
      <c r="CS104" s="69"/>
      <c r="CT104" s="29"/>
      <c r="CU104" s="29"/>
      <c r="CV104" s="29"/>
      <c r="CW104" s="29">
        <f t="shared" si="18"/>
        <v>5600</v>
      </c>
      <c r="CX104" s="69"/>
    </row>
    <row r="105" spans="1:102" ht="63" customHeight="1" x14ac:dyDescent="0.8">
      <c r="A105" s="12" t="s">
        <v>282</v>
      </c>
      <c r="B105" s="13" t="s">
        <v>280</v>
      </c>
      <c r="C105" s="69"/>
      <c r="D105" s="69"/>
      <c r="E105" s="69"/>
      <c r="F105" s="69"/>
      <c r="G105" s="69"/>
      <c r="H105" s="69"/>
      <c r="I105" s="69"/>
      <c r="J105" s="69"/>
      <c r="K105" s="69">
        <v>3700000</v>
      </c>
      <c r="L105" s="69"/>
      <c r="M105" s="29">
        <f t="shared" si="19"/>
        <v>0</v>
      </c>
      <c r="N105" s="69"/>
      <c r="O105" s="69"/>
      <c r="P105" s="69"/>
      <c r="Q105" s="69"/>
      <c r="R105" s="69"/>
      <c r="S105" s="69"/>
      <c r="T105" s="69"/>
      <c r="U105" s="69"/>
      <c r="V105" s="69"/>
      <c r="W105" s="69"/>
      <c r="X105" s="69"/>
      <c r="Y105" s="69"/>
      <c r="Z105" s="29"/>
      <c r="AA105" s="29"/>
      <c r="AB105" s="29">
        <f t="shared" si="20"/>
        <v>112969</v>
      </c>
      <c r="AC105" s="29"/>
      <c r="AD105" s="110">
        <v>112969</v>
      </c>
      <c r="AE105" s="29">
        <f t="shared" si="21"/>
        <v>75578</v>
      </c>
      <c r="AF105" s="69"/>
      <c r="AG105" s="69"/>
      <c r="AH105" s="69">
        <v>75578</v>
      </c>
      <c r="AI105" s="69"/>
      <c r="AJ105" s="69"/>
      <c r="AK105" s="69"/>
      <c r="AL105" s="69"/>
      <c r="AM105" s="29">
        <f t="shared" si="22"/>
        <v>0</v>
      </c>
      <c r="AN105" s="29"/>
      <c r="AO105" s="29"/>
      <c r="AP105" s="29">
        <f t="shared" si="23"/>
        <v>271210</v>
      </c>
      <c r="AQ105" s="69">
        <v>112410</v>
      </c>
      <c r="AR105" s="69">
        <v>59940</v>
      </c>
      <c r="AS105" s="69">
        <v>89960</v>
      </c>
      <c r="AT105" s="69">
        <v>8900</v>
      </c>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f>1500000-1500000</f>
        <v>0</v>
      </c>
      <c r="BR105" s="69"/>
      <c r="BS105" s="29"/>
      <c r="BT105" s="29"/>
      <c r="BU105" s="29"/>
      <c r="BV105" s="29"/>
      <c r="BW105" s="29"/>
      <c r="BX105" s="29"/>
      <c r="BY105" s="29">
        <f t="shared" si="24"/>
        <v>4159757</v>
      </c>
      <c r="BZ105" s="29"/>
      <c r="CA105" s="29"/>
      <c r="CB105" s="29"/>
      <c r="CC105" s="69"/>
      <c r="CD105" s="69">
        <f>150000</f>
        <v>150000</v>
      </c>
      <c r="CE105" s="69"/>
      <c r="CF105" s="69"/>
      <c r="CG105" s="69"/>
      <c r="CH105" s="69">
        <f>6200</f>
        <v>6200</v>
      </c>
      <c r="CI105" s="69"/>
      <c r="CJ105" s="69"/>
      <c r="CK105" s="69"/>
      <c r="CL105" s="69"/>
      <c r="CM105" s="69"/>
      <c r="CN105" s="69"/>
      <c r="CO105" s="69"/>
      <c r="CP105" s="69"/>
      <c r="CQ105" s="69"/>
      <c r="CR105" s="69"/>
      <c r="CS105" s="69"/>
      <c r="CT105" s="29"/>
      <c r="CU105" s="29"/>
      <c r="CV105" s="29"/>
      <c r="CW105" s="29">
        <f t="shared" si="18"/>
        <v>156200</v>
      </c>
      <c r="CX105" s="69"/>
    </row>
    <row r="106" spans="1:102" ht="63" customHeight="1" x14ac:dyDescent="0.8">
      <c r="A106" s="12" t="s">
        <v>182</v>
      </c>
      <c r="B106" s="13" t="s">
        <v>202</v>
      </c>
      <c r="C106" s="69"/>
      <c r="D106" s="113">
        <f>250000</f>
        <v>250000</v>
      </c>
      <c r="E106" s="69"/>
      <c r="F106" s="69"/>
      <c r="G106" s="69"/>
      <c r="H106" s="69"/>
      <c r="I106" s="69"/>
      <c r="J106" s="69"/>
      <c r="K106" s="69"/>
      <c r="L106" s="69"/>
      <c r="M106" s="29">
        <f t="shared" si="19"/>
        <v>79200</v>
      </c>
      <c r="N106" s="69">
        <v>79200</v>
      </c>
      <c r="O106" s="69"/>
      <c r="P106" s="69"/>
      <c r="Q106" s="69"/>
      <c r="R106" s="69"/>
      <c r="S106" s="69"/>
      <c r="T106" s="69"/>
      <c r="U106" s="69"/>
      <c r="V106" s="69"/>
      <c r="W106" s="69"/>
      <c r="X106" s="69"/>
      <c r="Y106" s="69"/>
      <c r="Z106" s="29"/>
      <c r="AA106" s="29"/>
      <c r="AB106" s="29">
        <f t="shared" si="20"/>
        <v>118200</v>
      </c>
      <c r="AC106" s="110">
        <f>118200</f>
        <v>118200</v>
      </c>
      <c r="AD106" s="29"/>
      <c r="AE106" s="29">
        <f t="shared" si="21"/>
        <v>60462</v>
      </c>
      <c r="AF106" s="69"/>
      <c r="AG106" s="69"/>
      <c r="AH106" s="69">
        <v>60462</v>
      </c>
      <c r="AI106" s="69"/>
      <c r="AJ106" s="69"/>
      <c r="AK106" s="69"/>
      <c r="AL106" s="69"/>
      <c r="AM106" s="29">
        <f t="shared" si="22"/>
        <v>0</v>
      </c>
      <c r="AN106" s="29"/>
      <c r="AO106" s="29"/>
      <c r="AP106" s="29">
        <f t="shared" si="23"/>
        <v>207967</v>
      </c>
      <c r="AQ106" s="69">
        <v>89928</v>
      </c>
      <c r="AR106" s="69">
        <v>38961</v>
      </c>
      <c r="AS106" s="69">
        <v>71968</v>
      </c>
      <c r="AT106" s="69">
        <v>7110</v>
      </c>
      <c r="AU106" s="69"/>
      <c r="AV106" s="69"/>
      <c r="AW106" s="69"/>
      <c r="AX106" s="69"/>
      <c r="AY106" s="69"/>
      <c r="AZ106" s="69"/>
      <c r="BA106" s="69"/>
      <c r="BB106" s="69"/>
      <c r="BC106" s="69"/>
      <c r="BD106" s="69"/>
      <c r="BE106" s="69"/>
      <c r="BF106" s="69">
        <f>220000</f>
        <v>220000</v>
      </c>
      <c r="BG106" s="69">
        <f>78150+11800</f>
        <v>89950</v>
      </c>
      <c r="BH106" s="69"/>
      <c r="BI106" s="69"/>
      <c r="BJ106" s="69"/>
      <c r="BK106" s="69"/>
      <c r="BL106" s="69"/>
      <c r="BM106" s="69"/>
      <c r="BN106" s="69"/>
      <c r="BO106" s="69"/>
      <c r="BP106" s="69"/>
      <c r="BQ106" s="69"/>
      <c r="BR106" s="69"/>
      <c r="BS106" s="29"/>
      <c r="BT106" s="29"/>
      <c r="BU106" s="29"/>
      <c r="BV106" s="29"/>
      <c r="BW106" s="29"/>
      <c r="BX106" s="29"/>
      <c r="BY106" s="29">
        <f t="shared" si="24"/>
        <v>1025779</v>
      </c>
      <c r="BZ106" s="29"/>
      <c r="CA106" s="29"/>
      <c r="CB106" s="29"/>
      <c r="CC106" s="69"/>
      <c r="CD106" s="69">
        <v>500000</v>
      </c>
      <c r="CE106" s="69"/>
      <c r="CF106" s="69"/>
      <c r="CG106" s="69"/>
      <c r="CH106" s="69">
        <v>4400</v>
      </c>
      <c r="CI106" s="69"/>
      <c r="CJ106" s="69"/>
      <c r="CK106" s="69"/>
      <c r="CL106" s="69"/>
      <c r="CM106" s="69"/>
      <c r="CN106" s="69"/>
      <c r="CO106" s="69"/>
      <c r="CP106" s="69"/>
      <c r="CQ106" s="69"/>
      <c r="CR106" s="69"/>
      <c r="CS106" s="69"/>
      <c r="CT106" s="29"/>
      <c r="CU106" s="29"/>
      <c r="CV106" s="29"/>
      <c r="CW106" s="29">
        <f t="shared" si="18"/>
        <v>504400</v>
      </c>
      <c r="CX106" s="69"/>
    </row>
    <row r="107" spans="1:102" ht="63" customHeight="1" x14ac:dyDescent="0.8">
      <c r="A107" s="12" t="s">
        <v>337</v>
      </c>
      <c r="B107" s="13" t="s">
        <v>338</v>
      </c>
      <c r="C107" s="69"/>
      <c r="D107" s="69"/>
      <c r="E107" s="69"/>
      <c r="F107" s="69"/>
      <c r="G107" s="69"/>
      <c r="H107" s="69"/>
      <c r="I107" s="69"/>
      <c r="J107" s="69"/>
      <c r="K107" s="69"/>
      <c r="L107" s="69"/>
      <c r="M107" s="29"/>
      <c r="N107" s="69"/>
      <c r="O107" s="69"/>
      <c r="P107" s="69"/>
      <c r="Q107" s="69"/>
      <c r="R107" s="69"/>
      <c r="S107" s="69"/>
      <c r="T107" s="69"/>
      <c r="U107" s="69"/>
      <c r="V107" s="69"/>
      <c r="W107" s="69"/>
      <c r="X107" s="69"/>
      <c r="Y107" s="69"/>
      <c r="Z107" s="29"/>
      <c r="AA107" s="29"/>
      <c r="AB107" s="29">
        <f t="shared" si="20"/>
        <v>0</v>
      </c>
      <c r="AC107" s="29"/>
      <c r="AD107" s="29"/>
      <c r="AE107" s="29"/>
      <c r="AF107" s="69"/>
      <c r="AG107" s="69"/>
      <c r="AH107" s="69"/>
      <c r="AI107" s="69"/>
      <c r="AJ107" s="69"/>
      <c r="AK107" s="69"/>
      <c r="AL107" s="69"/>
      <c r="AM107" s="29"/>
      <c r="AN107" s="29"/>
      <c r="AO107" s="29"/>
      <c r="AP107" s="2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29"/>
      <c r="BT107" s="29"/>
      <c r="BU107" s="29"/>
      <c r="BV107" s="29"/>
      <c r="BW107" s="29"/>
      <c r="BX107" s="29"/>
      <c r="BY107" s="29">
        <f t="shared" si="24"/>
        <v>0</v>
      </c>
      <c r="BZ107" s="29"/>
      <c r="CA107" s="29"/>
      <c r="CB107" s="29"/>
      <c r="CC107" s="69"/>
      <c r="CD107" s="69"/>
      <c r="CE107" s="69"/>
      <c r="CF107" s="69"/>
      <c r="CG107" s="69"/>
      <c r="CH107" s="69"/>
      <c r="CI107" s="69"/>
      <c r="CJ107" s="69"/>
      <c r="CK107" s="69"/>
      <c r="CL107" s="69"/>
      <c r="CM107" s="69"/>
      <c r="CN107" s="69"/>
      <c r="CO107" s="69"/>
      <c r="CP107" s="69"/>
      <c r="CQ107" s="69"/>
      <c r="CR107" s="69"/>
      <c r="CS107" s="69"/>
      <c r="CT107" s="29"/>
      <c r="CU107" s="29"/>
      <c r="CV107" s="29"/>
      <c r="CW107" s="29">
        <f t="shared" si="18"/>
        <v>0</v>
      </c>
      <c r="CX107" s="69"/>
    </row>
    <row r="108" spans="1:102" ht="63" customHeight="1" x14ac:dyDescent="0.8">
      <c r="A108" s="12"/>
      <c r="B108" s="13" t="s">
        <v>50</v>
      </c>
      <c r="C108" s="69">
        <f>SUM(C51:C107)</f>
        <v>0</v>
      </c>
      <c r="D108" s="113">
        <f>SUM(D51:D107)</f>
        <v>5371900</v>
      </c>
      <c r="E108" s="69">
        <f t="shared" ref="E108:X108" si="25">SUM(E51:E107)</f>
        <v>63342000</v>
      </c>
      <c r="F108" s="69">
        <f t="shared" si="25"/>
        <v>0</v>
      </c>
      <c r="G108" s="69">
        <f t="shared" si="25"/>
        <v>0</v>
      </c>
      <c r="H108" s="69">
        <f t="shared" si="25"/>
        <v>0</v>
      </c>
      <c r="I108" s="69">
        <f t="shared" si="25"/>
        <v>0</v>
      </c>
      <c r="J108" s="69">
        <f t="shared" si="25"/>
        <v>11779244</v>
      </c>
      <c r="K108" s="69">
        <f t="shared" si="25"/>
        <v>7464000</v>
      </c>
      <c r="L108" s="69">
        <f t="shared" si="25"/>
        <v>0</v>
      </c>
      <c r="M108" s="69">
        <f t="shared" si="25"/>
        <v>660300</v>
      </c>
      <c r="N108" s="69">
        <f t="shared" si="25"/>
        <v>141700</v>
      </c>
      <c r="O108" s="69">
        <f t="shared" si="25"/>
        <v>0</v>
      </c>
      <c r="P108" s="69">
        <f t="shared" si="25"/>
        <v>0</v>
      </c>
      <c r="Q108" s="69">
        <f t="shared" si="25"/>
        <v>518600</v>
      </c>
      <c r="R108" s="69">
        <f t="shared" si="25"/>
        <v>0</v>
      </c>
      <c r="S108" s="69">
        <f t="shared" si="25"/>
        <v>5402044</v>
      </c>
      <c r="T108" s="69">
        <f t="shared" si="25"/>
        <v>651919</v>
      </c>
      <c r="U108" s="69">
        <f t="shared" si="25"/>
        <v>5009189.22</v>
      </c>
      <c r="V108" s="69">
        <f t="shared" si="25"/>
        <v>0</v>
      </c>
      <c r="W108" s="69">
        <f>SUM(W51:W107)</f>
        <v>0</v>
      </c>
      <c r="X108" s="69">
        <f t="shared" si="25"/>
        <v>0</v>
      </c>
      <c r="Y108" s="69">
        <f>SUM(Y51:Y107)</f>
        <v>2714507</v>
      </c>
      <c r="Z108" s="69">
        <f>SUM(Z51:Z107)</f>
        <v>4000000</v>
      </c>
      <c r="AA108" s="69">
        <f t="shared" ref="AA108:BX108" si="26">SUM(AA51:AA107)</f>
        <v>506640.20999999996</v>
      </c>
      <c r="AB108" s="69">
        <f t="shared" si="26"/>
        <v>7145227</v>
      </c>
      <c r="AC108" s="69">
        <f t="shared" si="26"/>
        <v>1044900</v>
      </c>
      <c r="AD108" s="69">
        <f t="shared" si="26"/>
        <v>6100327</v>
      </c>
      <c r="AE108" s="69">
        <f t="shared" si="26"/>
        <v>33078117.129999999</v>
      </c>
      <c r="AF108" s="69">
        <f t="shared" si="26"/>
        <v>11419256.379999999</v>
      </c>
      <c r="AG108" s="69">
        <f t="shared" si="26"/>
        <v>16074000</v>
      </c>
      <c r="AH108" s="69">
        <f t="shared" si="26"/>
        <v>3960275</v>
      </c>
      <c r="AI108" s="69">
        <f t="shared" si="26"/>
        <v>400000</v>
      </c>
      <c r="AJ108" s="69">
        <f t="shared" si="26"/>
        <v>0</v>
      </c>
      <c r="AK108" s="69">
        <f t="shared" si="26"/>
        <v>0</v>
      </c>
      <c r="AL108" s="69">
        <f t="shared" si="26"/>
        <v>1224585.75</v>
      </c>
      <c r="AM108" s="69">
        <f t="shared" si="26"/>
        <v>3721332.9899999998</v>
      </c>
      <c r="AN108" s="105">
        <f t="shared" si="26"/>
        <v>1866507.99</v>
      </c>
      <c r="AO108" s="69">
        <f t="shared" si="26"/>
        <v>1854825</v>
      </c>
      <c r="AP108" s="69">
        <f t="shared" si="26"/>
        <v>14496327</v>
      </c>
      <c r="AQ108" s="69">
        <f t="shared" si="26"/>
        <v>5980212</v>
      </c>
      <c r="AR108" s="69">
        <f t="shared" si="26"/>
        <v>4429566</v>
      </c>
      <c r="AS108" s="69">
        <f t="shared" si="26"/>
        <v>3562415</v>
      </c>
      <c r="AT108" s="69">
        <f t="shared" si="26"/>
        <v>524134</v>
      </c>
      <c r="AU108" s="69">
        <f t="shared" si="26"/>
        <v>0</v>
      </c>
      <c r="AV108" s="69">
        <f t="shared" si="26"/>
        <v>0</v>
      </c>
      <c r="AW108" s="69">
        <f t="shared" si="26"/>
        <v>0</v>
      </c>
      <c r="AX108" s="69">
        <f t="shared" si="26"/>
        <v>0</v>
      </c>
      <c r="AY108" s="69">
        <f t="shared" si="26"/>
        <v>0</v>
      </c>
      <c r="AZ108" s="69">
        <f t="shared" si="26"/>
        <v>0</v>
      </c>
      <c r="BA108" s="69">
        <f t="shared" si="26"/>
        <v>0</v>
      </c>
      <c r="BB108" s="69">
        <f t="shared" si="26"/>
        <v>0</v>
      </c>
      <c r="BC108" s="69">
        <f t="shared" si="26"/>
        <v>0</v>
      </c>
      <c r="BD108" s="69">
        <f t="shared" si="26"/>
        <v>0</v>
      </c>
      <c r="BE108" s="69">
        <f t="shared" si="26"/>
        <v>0</v>
      </c>
      <c r="BF108" s="69">
        <f t="shared" si="26"/>
        <v>21230000</v>
      </c>
      <c r="BG108" s="69">
        <f t="shared" si="26"/>
        <v>7998250</v>
      </c>
      <c r="BH108" s="69">
        <f t="shared" si="26"/>
        <v>183000</v>
      </c>
      <c r="BI108" s="69">
        <f t="shared" si="26"/>
        <v>800000</v>
      </c>
      <c r="BJ108" s="69">
        <f t="shared" si="26"/>
        <v>0</v>
      </c>
      <c r="BK108" s="69">
        <f t="shared" si="26"/>
        <v>0</v>
      </c>
      <c r="BL108" s="69">
        <f t="shared" si="26"/>
        <v>2750000</v>
      </c>
      <c r="BM108" s="69">
        <f t="shared" si="26"/>
        <v>0</v>
      </c>
      <c r="BN108" s="69">
        <f t="shared" si="26"/>
        <v>0</v>
      </c>
      <c r="BO108" s="69">
        <f t="shared" si="26"/>
        <v>0</v>
      </c>
      <c r="BP108" s="69">
        <f t="shared" si="26"/>
        <v>0</v>
      </c>
      <c r="BQ108" s="69">
        <f t="shared" si="26"/>
        <v>5000000</v>
      </c>
      <c r="BR108" s="69">
        <f t="shared" si="26"/>
        <v>9350000</v>
      </c>
      <c r="BS108" s="69">
        <f t="shared" si="26"/>
        <v>0</v>
      </c>
      <c r="BT108" s="69">
        <f t="shared" si="26"/>
        <v>0</v>
      </c>
      <c r="BU108" s="69">
        <f t="shared" si="26"/>
        <v>0</v>
      </c>
      <c r="BV108" s="69">
        <f t="shared" si="26"/>
        <v>0</v>
      </c>
      <c r="BW108" s="69">
        <f t="shared" si="26"/>
        <v>0</v>
      </c>
      <c r="BX108" s="69">
        <f t="shared" si="26"/>
        <v>1000000</v>
      </c>
      <c r="BY108" s="29">
        <f t="shared" si="24"/>
        <v>213653997.55000001</v>
      </c>
      <c r="BZ108" s="69">
        <f>SUM(BZ51:BZ107)</f>
        <v>0</v>
      </c>
      <c r="CA108" s="69">
        <f t="shared" ref="CA108:CV108" si="27">SUM(CA51:CA107)</f>
        <v>0</v>
      </c>
      <c r="CB108" s="69">
        <f t="shared" si="27"/>
        <v>0</v>
      </c>
      <c r="CC108" s="69">
        <f t="shared" si="27"/>
        <v>0</v>
      </c>
      <c r="CD108" s="91">
        <f t="shared" si="27"/>
        <v>16210495</v>
      </c>
      <c r="CE108" s="69">
        <f t="shared" si="27"/>
        <v>30000000</v>
      </c>
      <c r="CF108" s="69">
        <f t="shared" si="27"/>
        <v>76600000</v>
      </c>
      <c r="CG108" s="69">
        <f t="shared" si="27"/>
        <v>0</v>
      </c>
      <c r="CH108" s="69">
        <f t="shared" si="27"/>
        <v>430499</v>
      </c>
      <c r="CI108" s="69">
        <f t="shared" si="27"/>
        <v>0</v>
      </c>
      <c r="CJ108" s="69">
        <f t="shared" si="27"/>
        <v>0</v>
      </c>
      <c r="CK108" s="69">
        <f t="shared" si="27"/>
        <v>0</v>
      </c>
      <c r="CL108" s="69">
        <f t="shared" si="27"/>
        <v>0</v>
      </c>
      <c r="CM108" s="69">
        <f t="shared" si="27"/>
        <v>0</v>
      </c>
      <c r="CN108" s="69">
        <f t="shared" si="27"/>
        <v>0</v>
      </c>
      <c r="CO108" s="69">
        <f t="shared" si="27"/>
        <v>0</v>
      </c>
      <c r="CP108" s="69">
        <f t="shared" si="27"/>
        <v>0</v>
      </c>
      <c r="CQ108" s="69">
        <f t="shared" si="27"/>
        <v>0</v>
      </c>
      <c r="CR108" s="69">
        <f t="shared" si="27"/>
        <v>0</v>
      </c>
      <c r="CS108" s="69">
        <f t="shared" si="27"/>
        <v>0</v>
      </c>
      <c r="CT108" s="69">
        <f t="shared" si="27"/>
        <v>0</v>
      </c>
      <c r="CU108" s="69">
        <f t="shared" si="27"/>
        <v>1500000</v>
      </c>
      <c r="CV108" s="69">
        <f t="shared" si="27"/>
        <v>0</v>
      </c>
      <c r="CW108" s="69">
        <f>SUM(CW51:CW107)</f>
        <v>124740994</v>
      </c>
      <c r="CX108" s="69">
        <f>CX51+CX52+CX53+CX54+CX56+CX57+CX58+CX59+CX60+CX61+CX62+CX63+CX64+CX101+CX67+CX68+CX69+CX71+CX74+CX77+CX79+CX80+CX81+CX82+CX83+CX84+CX85+CX87+CX88+CX89+CX90+CX91+CX92+CX93+CX94+CX95+CX96+CX98+CX99+CX100+CX104+CX106+CX65+CX78+CX76+CX70</f>
        <v>0</v>
      </c>
    </row>
    <row r="109" spans="1:102" ht="59.25" customHeight="1" x14ac:dyDescent="0.8">
      <c r="A109" s="12" t="s">
        <v>214</v>
      </c>
      <c r="B109" s="13" t="s">
        <v>215</v>
      </c>
      <c r="C109" s="69"/>
      <c r="D109" s="69"/>
      <c r="E109" s="69"/>
      <c r="F109" s="69"/>
      <c r="G109" s="69"/>
      <c r="H109" s="69"/>
      <c r="I109" s="69"/>
      <c r="J109" s="69"/>
      <c r="K109" s="69"/>
      <c r="L109" s="69"/>
      <c r="M109" s="29">
        <f t="shared" si="19"/>
        <v>0</v>
      </c>
      <c r="N109" s="69"/>
      <c r="O109" s="69"/>
      <c r="P109" s="69"/>
      <c r="Q109" s="69"/>
      <c r="R109" s="69"/>
      <c r="S109" s="69"/>
      <c r="T109" s="69"/>
      <c r="U109" s="69"/>
      <c r="V109" s="69"/>
      <c r="W109" s="69"/>
      <c r="X109" s="69"/>
      <c r="Y109" s="69"/>
      <c r="Z109" s="29"/>
      <c r="AA109" s="29"/>
      <c r="AB109" s="29">
        <f t="shared" si="20"/>
        <v>0</v>
      </c>
      <c r="AC109" s="29"/>
      <c r="AD109" s="29"/>
      <c r="AE109" s="29">
        <f t="shared" si="21"/>
        <v>0</v>
      </c>
      <c r="AF109" s="69"/>
      <c r="AG109" s="69"/>
      <c r="AH109" s="69"/>
      <c r="AI109" s="69"/>
      <c r="AJ109" s="69"/>
      <c r="AK109" s="69"/>
      <c r="AL109" s="69"/>
      <c r="AM109" s="29">
        <f t="shared" si="22"/>
        <v>0</v>
      </c>
      <c r="AN109" s="29"/>
      <c r="AO109" s="29"/>
      <c r="AP109" s="29">
        <f>AQ109+AR109+AS109</f>
        <v>0</v>
      </c>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29"/>
      <c r="BT109" s="29"/>
      <c r="BU109" s="29"/>
      <c r="BV109" s="29"/>
      <c r="BW109" s="29"/>
      <c r="BX109" s="29"/>
      <c r="BY109" s="29">
        <f t="shared" si="24"/>
        <v>0</v>
      </c>
      <c r="BZ109" s="29">
        <v>6399600</v>
      </c>
      <c r="CA109" s="29"/>
      <c r="CB109" s="29"/>
      <c r="CC109" s="69"/>
      <c r="CD109" s="69"/>
      <c r="CE109" s="69"/>
      <c r="CF109" s="69"/>
      <c r="CG109" s="69"/>
      <c r="CH109" s="69"/>
      <c r="CI109" s="69"/>
      <c r="CJ109" s="69"/>
      <c r="CK109" s="69"/>
      <c r="CL109" s="69"/>
      <c r="CM109" s="69"/>
      <c r="CN109" s="69"/>
      <c r="CO109" s="69"/>
      <c r="CP109" s="69"/>
      <c r="CQ109" s="69"/>
      <c r="CR109" s="69"/>
      <c r="CS109" s="69"/>
      <c r="CT109" s="29"/>
      <c r="CU109" s="29"/>
      <c r="CV109" s="29"/>
      <c r="CW109" s="29">
        <f>SUM(BZ109:CV109)</f>
        <v>6399600</v>
      </c>
      <c r="CX109" s="69"/>
    </row>
    <row r="110" spans="1:102" ht="59.25" customHeight="1" x14ac:dyDescent="0.8">
      <c r="A110" s="12" t="s">
        <v>223</v>
      </c>
      <c r="B110" s="13" t="s">
        <v>224</v>
      </c>
      <c r="C110" s="69"/>
      <c r="D110" s="69"/>
      <c r="E110" s="69"/>
      <c r="F110" s="69"/>
      <c r="G110" s="69"/>
      <c r="H110" s="69"/>
      <c r="I110" s="69"/>
      <c r="J110" s="69"/>
      <c r="K110" s="69"/>
      <c r="L110" s="69"/>
      <c r="M110" s="29">
        <f t="shared" si="19"/>
        <v>0</v>
      </c>
      <c r="N110" s="69"/>
      <c r="O110" s="69"/>
      <c r="P110" s="69"/>
      <c r="Q110" s="69"/>
      <c r="R110" s="69"/>
      <c r="S110" s="69"/>
      <c r="T110" s="69"/>
      <c r="U110" s="69"/>
      <c r="V110" s="69"/>
      <c r="W110" s="69"/>
      <c r="X110" s="69"/>
      <c r="Y110" s="69"/>
      <c r="Z110" s="29"/>
      <c r="AA110" s="29"/>
      <c r="AB110" s="29">
        <f t="shared" si="20"/>
        <v>0</v>
      </c>
      <c r="AC110" s="29"/>
      <c r="AD110" s="29"/>
      <c r="AE110" s="29">
        <f t="shared" si="21"/>
        <v>0</v>
      </c>
      <c r="AF110" s="69"/>
      <c r="AG110" s="69"/>
      <c r="AH110" s="69"/>
      <c r="AI110" s="69"/>
      <c r="AJ110" s="69"/>
      <c r="AK110" s="69"/>
      <c r="AL110" s="69"/>
      <c r="AM110" s="29">
        <f t="shared" si="22"/>
        <v>0</v>
      </c>
      <c r="AN110" s="29"/>
      <c r="AO110" s="29"/>
      <c r="AP110" s="29">
        <f>AQ110+AR110+AS110</f>
        <v>0</v>
      </c>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29"/>
      <c r="BT110" s="29"/>
      <c r="BU110" s="29"/>
      <c r="BV110" s="29"/>
      <c r="BW110" s="29"/>
      <c r="BX110" s="29"/>
      <c r="BY110" s="29">
        <f t="shared" si="24"/>
        <v>0</v>
      </c>
      <c r="BZ110" s="29"/>
      <c r="CA110" s="29"/>
      <c r="CB110" s="29">
        <v>250000</v>
      </c>
      <c r="CC110" s="69"/>
      <c r="CD110" s="69"/>
      <c r="CE110" s="69"/>
      <c r="CF110" s="69"/>
      <c r="CG110" s="69"/>
      <c r="CH110" s="69"/>
      <c r="CI110" s="69"/>
      <c r="CJ110" s="69"/>
      <c r="CK110" s="69"/>
      <c r="CL110" s="69"/>
      <c r="CM110" s="69"/>
      <c r="CN110" s="69"/>
      <c r="CO110" s="69"/>
      <c r="CP110" s="69"/>
      <c r="CQ110" s="69"/>
      <c r="CR110" s="69"/>
      <c r="CS110" s="69"/>
      <c r="CT110" s="29"/>
      <c r="CU110" s="29"/>
      <c r="CV110" s="29"/>
      <c r="CW110" s="29">
        <f>SUM(BZ110:CV110)</f>
        <v>250000</v>
      </c>
      <c r="CX110" s="69"/>
    </row>
    <row r="111" spans="1:102" s="14" customFormat="1" ht="59.25" customHeight="1" x14ac:dyDescent="0.8">
      <c r="A111" s="12" t="s">
        <v>9</v>
      </c>
      <c r="B111" s="13" t="s">
        <v>10</v>
      </c>
      <c r="C111" s="28"/>
      <c r="D111" s="28"/>
      <c r="E111" s="28">
        <f>79419500-79419500</f>
        <v>0</v>
      </c>
      <c r="F111" s="28"/>
      <c r="G111" s="28"/>
      <c r="H111" s="28"/>
      <c r="I111" s="69"/>
      <c r="J111" s="69"/>
      <c r="K111" s="69"/>
      <c r="L111" s="69"/>
      <c r="M111" s="29">
        <f t="shared" si="19"/>
        <v>0</v>
      </c>
      <c r="N111" s="69"/>
      <c r="O111" s="69"/>
      <c r="P111" s="69"/>
      <c r="Q111" s="69"/>
      <c r="R111" s="69"/>
      <c r="S111" s="69"/>
      <c r="T111" s="69"/>
      <c r="U111" s="69"/>
      <c r="V111" s="69"/>
      <c r="W111" s="69"/>
      <c r="X111" s="69"/>
      <c r="Y111" s="69">
        <f>56547900-51641721.6-3648437-1222745.45</f>
        <v>34995.949999998556</v>
      </c>
      <c r="Z111" s="29"/>
      <c r="AA111" s="29">
        <f>41542000-27683000-13859000</f>
        <v>0</v>
      </c>
      <c r="AB111" s="109">
        <f t="shared" si="20"/>
        <v>0</v>
      </c>
      <c r="AC111" s="110"/>
      <c r="AD111" s="110"/>
      <c r="AE111" s="29">
        <f t="shared" si="21"/>
        <v>0</v>
      </c>
      <c r="AF111" s="69"/>
      <c r="AG111" s="69"/>
      <c r="AH111" s="69"/>
      <c r="AI111" s="69"/>
      <c r="AJ111" s="69"/>
      <c r="AK111" s="69"/>
      <c r="AL111" s="69"/>
      <c r="AM111" s="29">
        <f t="shared" si="22"/>
        <v>0</v>
      </c>
      <c r="AN111" s="29">
        <f>6801000-6801000</f>
        <v>0</v>
      </c>
      <c r="AO111" s="29"/>
      <c r="AP111" s="29">
        <f>228483-228483</f>
        <v>0</v>
      </c>
      <c r="AQ111" s="69"/>
      <c r="AR111" s="69"/>
      <c r="AS111" s="69"/>
      <c r="AT111" s="69"/>
      <c r="AU111" s="69"/>
      <c r="AV111" s="69"/>
      <c r="AW111" s="69"/>
      <c r="AX111" s="69"/>
      <c r="AY111" s="69"/>
      <c r="AZ111" s="69"/>
      <c r="BA111" s="69"/>
      <c r="BB111" s="69"/>
      <c r="BC111" s="69"/>
      <c r="BD111" s="69"/>
      <c r="BE111" s="69"/>
      <c r="BF111" s="69"/>
      <c r="BG111" s="69"/>
      <c r="BH111" s="69">
        <f>1000000-1000000</f>
        <v>0</v>
      </c>
      <c r="BI111" s="69"/>
      <c r="BJ111" s="69"/>
      <c r="BK111" s="69"/>
      <c r="BL111" s="69"/>
      <c r="BM111" s="69"/>
      <c r="BN111" s="69"/>
      <c r="BO111" s="69"/>
      <c r="BP111" s="69"/>
      <c r="BQ111" s="69">
        <f>7000000-7000000</f>
        <v>0</v>
      </c>
      <c r="BR111" s="69">
        <f>13770000-3500000-10270000</f>
        <v>0</v>
      </c>
      <c r="BS111" s="29"/>
      <c r="BT111" s="29"/>
      <c r="BU111" s="29"/>
      <c r="BV111" s="29"/>
      <c r="BW111" s="29"/>
      <c r="BX111" s="29"/>
      <c r="BY111" s="29">
        <f t="shared" si="24"/>
        <v>34995.949999998556</v>
      </c>
      <c r="BZ111" s="29"/>
      <c r="CA111" s="29"/>
      <c r="CB111" s="29"/>
      <c r="CC111" s="69"/>
      <c r="CD111" s="69"/>
      <c r="CE111" s="69"/>
      <c r="CF111" s="69"/>
      <c r="CG111" s="69"/>
      <c r="CH111" s="69"/>
      <c r="CI111" s="69"/>
      <c r="CJ111" s="69"/>
      <c r="CK111" s="69"/>
      <c r="CL111" s="69"/>
      <c r="CM111" s="69"/>
      <c r="CN111" s="69"/>
      <c r="CO111" s="69"/>
      <c r="CP111" s="69"/>
      <c r="CQ111" s="69"/>
      <c r="CR111" s="69"/>
      <c r="CS111" s="69"/>
      <c r="CT111" s="29"/>
      <c r="CU111" s="29"/>
      <c r="CV111" s="29"/>
      <c r="CW111" s="29">
        <f>SUM(BZ111:CV111)</f>
        <v>0</v>
      </c>
      <c r="CX111" s="69"/>
    </row>
    <row r="112" spans="1:102" s="14" customFormat="1" ht="55.5" customHeight="1" x14ac:dyDescent="0.8">
      <c r="A112" s="12"/>
      <c r="B112" s="13" t="s">
        <v>11</v>
      </c>
      <c r="C112" s="28">
        <f>553836900-194542300</f>
        <v>359294600</v>
      </c>
      <c r="D112" s="28"/>
      <c r="E112" s="28"/>
      <c r="F112" s="28"/>
      <c r="G112" s="28"/>
      <c r="H112" s="28"/>
      <c r="I112" s="69"/>
      <c r="J112" s="69"/>
      <c r="K112" s="69"/>
      <c r="L112" s="69"/>
      <c r="M112" s="29">
        <f t="shared" si="19"/>
        <v>0</v>
      </c>
      <c r="N112" s="69"/>
      <c r="O112" s="69"/>
      <c r="P112" s="69"/>
      <c r="Q112" s="69"/>
      <c r="R112" s="69"/>
      <c r="S112" s="69"/>
      <c r="T112" s="69"/>
      <c r="U112" s="69"/>
      <c r="V112" s="69"/>
      <c r="W112" s="69"/>
      <c r="X112" s="69"/>
      <c r="Y112" s="69"/>
      <c r="Z112" s="29"/>
      <c r="AA112" s="29"/>
      <c r="AB112" s="109">
        <f t="shared" si="20"/>
        <v>0</v>
      </c>
      <c r="AC112" s="109"/>
      <c r="AD112" s="109"/>
      <c r="AE112" s="29">
        <f t="shared" si="21"/>
        <v>0</v>
      </c>
      <c r="AF112" s="69"/>
      <c r="AG112" s="69"/>
      <c r="AH112" s="69"/>
      <c r="AI112" s="69"/>
      <c r="AJ112" s="69"/>
      <c r="AK112" s="69"/>
      <c r="AL112" s="69"/>
      <c r="AM112" s="29">
        <f t="shared" si="22"/>
        <v>0</v>
      </c>
      <c r="AN112" s="29"/>
      <c r="AO112" s="29"/>
      <c r="AP112" s="29">
        <f>AQ112+AR112+AS112</f>
        <v>0</v>
      </c>
      <c r="AQ112" s="69"/>
      <c r="AR112" s="69"/>
      <c r="AS112" s="69"/>
      <c r="AT112" s="69"/>
      <c r="AU112" s="69">
        <f>2729663.35-1000000</f>
        <v>1729663.35</v>
      </c>
      <c r="AV112" s="69">
        <f>9000000+470000+1900000-1200000</f>
        <v>10170000</v>
      </c>
      <c r="AW112" s="69">
        <v>2000000</v>
      </c>
      <c r="AX112" s="69">
        <v>2150000</v>
      </c>
      <c r="AY112" s="69">
        <f>20800000-2150000</f>
        <v>18650000</v>
      </c>
      <c r="AZ112" s="69">
        <f>23877400+30289261+14756702+2500000</f>
        <v>71423363</v>
      </c>
      <c r="BA112" s="69">
        <f>9495000+20695491+5000000+9200000+5000000</f>
        <v>49390491</v>
      </c>
      <c r="BB112" s="69">
        <v>8717677</v>
      </c>
      <c r="BC112" s="69">
        <f>5000000+5000000</f>
        <v>10000000</v>
      </c>
      <c r="BD112" s="69">
        <f>1000000+980000</f>
        <v>1980000</v>
      </c>
      <c r="BE112" s="69">
        <f>11000000-470000-1900000</f>
        <v>8630000</v>
      </c>
      <c r="BF112" s="69"/>
      <c r="BG112" s="69"/>
      <c r="BH112" s="69"/>
      <c r="BI112" s="69"/>
      <c r="BJ112" s="69"/>
      <c r="BK112" s="69"/>
      <c r="BL112" s="69"/>
      <c r="BM112" s="69"/>
      <c r="BN112" s="69"/>
      <c r="BO112" s="69"/>
      <c r="BP112" s="69"/>
      <c r="BQ112" s="69"/>
      <c r="BR112" s="69"/>
      <c r="BS112" s="29"/>
      <c r="BT112" s="29"/>
      <c r="BU112" s="29"/>
      <c r="BV112" s="29"/>
      <c r="BW112" s="29"/>
      <c r="BX112" s="29"/>
      <c r="BY112" s="29">
        <f t="shared" si="24"/>
        <v>525418117.35000002</v>
      </c>
      <c r="BZ112" s="29"/>
      <c r="CA112" s="29"/>
      <c r="CB112" s="29"/>
      <c r="CC112" s="69"/>
      <c r="CD112" s="69"/>
      <c r="CE112" s="69"/>
      <c r="CF112" s="69"/>
      <c r="CG112" s="69"/>
      <c r="CH112" s="69"/>
      <c r="CI112" s="69"/>
      <c r="CJ112" s="69"/>
      <c r="CK112" s="69"/>
      <c r="CL112" s="69"/>
      <c r="CM112" s="69"/>
      <c r="CN112" s="69"/>
      <c r="CO112" s="69"/>
      <c r="CP112" s="69"/>
      <c r="CQ112" s="69"/>
      <c r="CR112" s="69"/>
      <c r="CS112" s="69"/>
      <c r="CT112" s="29"/>
      <c r="CU112" s="29"/>
      <c r="CV112" s="29"/>
      <c r="CW112" s="29">
        <f>SUM(BZ112:CV112)</f>
        <v>0</v>
      </c>
      <c r="CX112" s="69"/>
    </row>
    <row r="113" spans="1:102" s="15" customFormat="1" ht="59.25" customHeight="1" x14ac:dyDescent="0.8">
      <c r="A113" s="12"/>
      <c r="B113" s="13" t="s">
        <v>161</v>
      </c>
      <c r="C113" s="28">
        <f t="shared" ref="C113:L113" si="28">C26+C49+C111+C112+C108+C109</f>
        <v>359294600</v>
      </c>
      <c r="D113" s="114">
        <f t="shared" si="28"/>
        <v>5371900</v>
      </c>
      <c r="E113" s="28">
        <f t="shared" si="28"/>
        <v>189419500</v>
      </c>
      <c r="F113" s="99">
        <f t="shared" si="28"/>
        <v>3654226100</v>
      </c>
      <c r="G113" s="99">
        <f t="shared" si="28"/>
        <v>5353127500</v>
      </c>
      <c r="H113" s="99">
        <f t="shared" si="28"/>
        <v>52032100</v>
      </c>
      <c r="I113" s="28">
        <f t="shared" si="28"/>
        <v>105797700</v>
      </c>
      <c r="J113" s="28">
        <f t="shared" si="28"/>
        <v>88665000</v>
      </c>
      <c r="K113" s="28">
        <f t="shared" si="28"/>
        <v>9264000</v>
      </c>
      <c r="L113" s="28">
        <f t="shared" si="28"/>
        <v>1114357</v>
      </c>
      <c r="M113" s="29">
        <f t="shared" si="19"/>
        <v>2343100</v>
      </c>
      <c r="N113" s="28">
        <f t="shared" ref="N113:AD113" si="29">N26+N49+N111+N112+N108+N109</f>
        <v>206300</v>
      </c>
      <c r="O113" s="28">
        <f t="shared" si="29"/>
        <v>1604300</v>
      </c>
      <c r="P113" s="28">
        <f t="shared" si="29"/>
        <v>9500</v>
      </c>
      <c r="Q113" s="28">
        <f t="shared" si="29"/>
        <v>518600</v>
      </c>
      <c r="R113" s="28">
        <f t="shared" si="29"/>
        <v>4400</v>
      </c>
      <c r="S113" s="28">
        <f t="shared" si="29"/>
        <v>86865356</v>
      </c>
      <c r="T113" s="28">
        <f t="shared" si="29"/>
        <v>9827790.3900000006</v>
      </c>
      <c r="U113" s="28">
        <f t="shared" si="29"/>
        <v>91648400</v>
      </c>
      <c r="V113" s="92">
        <f t="shared" si="29"/>
        <v>26377198</v>
      </c>
      <c r="W113" s="92">
        <f t="shared" si="29"/>
        <v>3001184</v>
      </c>
      <c r="X113" s="92">
        <f t="shared" si="29"/>
        <v>4365569</v>
      </c>
      <c r="Y113" s="28">
        <f t="shared" si="29"/>
        <v>17374428.399999999</v>
      </c>
      <c r="Z113" s="28">
        <f t="shared" si="29"/>
        <v>9000000</v>
      </c>
      <c r="AA113" s="28">
        <f t="shared" si="29"/>
        <v>13859000</v>
      </c>
      <c r="AB113" s="109">
        <f>AC113+AD113</f>
        <v>26146500</v>
      </c>
      <c r="AC113" s="111">
        <f t="shared" si="29"/>
        <v>1293300</v>
      </c>
      <c r="AD113" s="111">
        <f t="shared" si="29"/>
        <v>24853200</v>
      </c>
      <c r="AE113" s="29">
        <f t="shared" si="21"/>
        <v>100674327.13</v>
      </c>
      <c r="AF113" s="28">
        <f t="shared" ref="AF113:BX113" si="30">AF26+AF49+AF111+AF112+AF108+AF109</f>
        <v>46234541.379999995</v>
      </c>
      <c r="AG113" s="28">
        <f t="shared" si="30"/>
        <v>32148300</v>
      </c>
      <c r="AH113" s="28">
        <f t="shared" si="30"/>
        <v>13713900</v>
      </c>
      <c r="AI113" s="28">
        <f>AI26+AI49+AI111+AI112+AI108+AI109</f>
        <v>1600000</v>
      </c>
      <c r="AJ113" s="28">
        <f t="shared" si="30"/>
        <v>4280000</v>
      </c>
      <c r="AK113" s="28">
        <f t="shared" si="30"/>
        <v>1473000</v>
      </c>
      <c r="AL113" s="28">
        <f t="shared" si="30"/>
        <v>1224585.75</v>
      </c>
      <c r="AM113" s="29">
        <f t="shared" ref="AM113:AT113" si="31">AM112+AM111+AM110+AM109+AM108+AM49+AM26</f>
        <v>26027500</v>
      </c>
      <c r="AN113" s="106">
        <f t="shared" si="31"/>
        <v>19226500.000000004</v>
      </c>
      <c r="AO113" s="30">
        <f t="shared" si="31"/>
        <v>6801000</v>
      </c>
      <c r="AP113" s="96">
        <f t="shared" si="31"/>
        <v>72773859</v>
      </c>
      <c r="AQ113" s="28">
        <f t="shared" si="31"/>
        <v>28104834</v>
      </c>
      <c r="AR113" s="28">
        <f t="shared" si="31"/>
        <v>28474915</v>
      </c>
      <c r="AS113" s="28">
        <f t="shared" si="31"/>
        <v>14056006</v>
      </c>
      <c r="AT113" s="28">
        <f t="shared" si="31"/>
        <v>2138104</v>
      </c>
      <c r="AU113" s="28">
        <f t="shared" si="30"/>
        <v>1729663.35</v>
      </c>
      <c r="AV113" s="28">
        <f t="shared" si="30"/>
        <v>10170000</v>
      </c>
      <c r="AW113" s="28">
        <f>AW26+AW49+AW111+AW112+AW108+AW109</f>
        <v>2000000</v>
      </c>
      <c r="AX113" s="28">
        <f>AX26+AX49+AX111+AX112+AX108+AX109</f>
        <v>2150000</v>
      </c>
      <c r="AY113" s="28">
        <f t="shared" si="30"/>
        <v>18650000</v>
      </c>
      <c r="AZ113" s="28">
        <f>AZ26+AZ49+AZ111+AZ112+AZ108+AZ109</f>
        <v>71423363</v>
      </c>
      <c r="BA113" s="28">
        <f>BA26+BA49+BA111+BA112+BA108+BA109</f>
        <v>49390491</v>
      </c>
      <c r="BB113" s="28">
        <f>BB26+BB49+BB111+BB112+BB108+BB109</f>
        <v>8717677</v>
      </c>
      <c r="BC113" s="28">
        <f>BC26+BC49+BC111+BC112+BC108+BC109</f>
        <v>10000000</v>
      </c>
      <c r="BD113" s="28">
        <f>BD26+BD49+BD111+BD112+BD108+BD109</f>
        <v>1980000</v>
      </c>
      <c r="BE113" s="28">
        <f t="shared" si="30"/>
        <v>8630000</v>
      </c>
      <c r="BF113" s="28">
        <f t="shared" si="30"/>
        <v>32790000</v>
      </c>
      <c r="BG113" s="28">
        <f>BG26+BG49+BG111+BG112+BG108+BG109</f>
        <v>66000000</v>
      </c>
      <c r="BH113" s="28">
        <f t="shared" si="30"/>
        <v>1000000</v>
      </c>
      <c r="BI113" s="28">
        <f t="shared" si="30"/>
        <v>2000000</v>
      </c>
      <c r="BJ113" s="28">
        <f t="shared" si="30"/>
        <v>6820613.5099999998</v>
      </c>
      <c r="BK113" s="28">
        <f t="shared" si="30"/>
        <v>9000000</v>
      </c>
      <c r="BL113" s="28">
        <f t="shared" si="30"/>
        <v>17577814</v>
      </c>
      <c r="BM113" s="28">
        <f t="shared" si="30"/>
        <v>130000</v>
      </c>
      <c r="BN113" s="28">
        <f t="shared" si="30"/>
        <v>101473000</v>
      </c>
      <c r="BO113" s="28">
        <f t="shared" si="30"/>
        <v>810000</v>
      </c>
      <c r="BP113" s="28">
        <f t="shared" si="30"/>
        <v>2468000</v>
      </c>
      <c r="BQ113" s="28">
        <f t="shared" si="30"/>
        <v>5000000</v>
      </c>
      <c r="BR113" s="28">
        <f>BR26+BR49+BR111+BR112+BR108+BR109</f>
        <v>16770000</v>
      </c>
      <c r="BS113" s="28">
        <f>BS26+BS49+BS111+BS112+BS108+BS109</f>
        <v>8180764.4900000002</v>
      </c>
      <c r="BT113" s="28">
        <f t="shared" si="30"/>
        <v>27100000</v>
      </c>
      <c r="BU113" s="28">
        <f t="shared" si="30"/>
        <v>16166820</v>
      </c>
      <c r="BV113" s="28">
        <f>BV26+BV49+BV111+BV112+BV108+BV109</f>
        <v>13514000</v>
      </c>
      <c r="BW113" s="28">
        <f>BW26+BW49+BW111+BW112+BW108+BW109</f>
        <v>0</v>
      </c>
      <c r="BX113" s="28">
        <f t="shared" si="30"/>
        <v>1000000</v>
      </c>
      <c r="BY113" s="29">
        <f t="shared" si="24"/>
        <v>10802521498.269999</v>
      </c>
      <c r="BZ113" s="28">
        <f>BZ26+BZ49+BZ111+BZ112+BZ108+BZ109</f>
        <v>6399600</v>
      </c>
      <c r="CA113" s="28">
        <f>CA26+CA49+CA111+CA112+CA108+CA109</f>
        <v>11000000</v>
      </c>
      <c r="CB113" s="28">
        <f>CB26+CB49+CB111+CB112+CB108+CB109+CB110</f>
        <v>397200</v>
      </c>
      <c r="CC113" s="28">
        <f t="shared" ref="CC113:CV113" si="32">CC26+CC49+CC111+CC112+CC108+CC109</f>
        <v>0</v>
      </c>
      <c r="CD113" s="92">
        <f t="shared" si="32"/>
        <v>45864495</v>
      </c>
      <c r="CE113" s="28">
        <f t="shared" si="32"/>
        <v>30000000</v>
      </c>
      <c r="CF113" s="28">
        <f t="shared" si="32"/>
        <v>90238958</v>
      </c>
      <c r="CG113" s="28">
        <f t="shared" si="32"/>
        <v>73086</v>
      </c>
      <c r="CH113" s="28">
        <f t="shared" si="32"/>
        <v>1230145</v>
      </c>
      <c r="CI113" s="28">
        <f t="shared" si="32"/>
        <v>2150000</v>
      </c>
      <c r="CJ113" s="28">
        <f t="shared" si="32"/>
        <v>150000</v>
      </c>
      <c r="CK113" s="28">
        <f t="shared" si="32"/>
        <v>4000000</v>
      </c>
      <c r="CL113" s="28">
        <f t="shared" si="32"/>
        <v>1000000</v>
      </c>
      <c r="CM113" s="28">
        <f t="shared" si="32"/>
        <v>10000</v>
      </c>
      <c r="CN113" s="28">
        <f t="shared" si="32"/>
        <v>475961</v>
      </c>
      <c r="CO113" s="28">
        <f t="shared" si="32"/>
        <v>33000</v>
      </c>
      <c r="CP113" s="28">
        <f t="shared" si="32"/>
        <v>149970</v>
      </c>
      <c r="CQ113" s="28">
        <f t="shared" si="32"/>
        <v>100000</v>
      </c>
      <c r="CR113" s="28">
        <f t="shared" si="32"/>
        <v>1603764</v>
      </c>
      <c r="CS113" s="28">
        <f t="shared" si="32"/>
        <v>1129500</v>
      </c>
      <c r="CT113" s="28">
        <f t="shared" si="32"/>
        <v>14500000</v>
      </c>
      <c r="CU113" s="92">
        <f t="shared" si="32"/>
        <v>9500000</v>
      </c>
      <c r="CV113" s="28">
        <f t="shared" si="32"/>
        <v>106351</v>
      </c>
      <c r="CW113" s="29">
        <f>SUM(BZ113:CV113)</f>
        <v>220112030</v>
      </c>
      <c r="CX113" s="28">
        <f>CX26+CX49+CX111+CX112+CX108</f>
        <v>0</v>
      </c>
    </row>
    <row r="114" spans="1:102" s="20" customFormat="1" ht="81.75" customHeight="1" x14ac:dyDescent="1.05">
      <c r="A114" s="16"/>
      <c r="B114" s="54"/>
      <c r="C114" s="17"/>
      <c r="D114" s="17"/>
      <c r="E114" s="17"/>
      <c r="F114" s="19"/>
      <c r="G114" s="19"/>
      <c r="H114" s="19"/>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J114" s="72"/>
      <c r="CK114" s="72"/>
      <c r="CL114" s="72"/>
      <c r="CM114" s="72"/>
      <c r="CN114" s="221" t="s">
        <v>344</v>
      </c>
      <c r="CO114" s="221"/>
      <c r="CP114" s="84"/>
      <c r="CQ114" s="84"/>
      <c r="CR114" s="78"/>
      <c r="CS114" s="219"/>
      <c r="CT114" s="219"/>
      <c r="CU114" s="75"/>
    </row>
    <row r="115" spans="1:102" s="23" customFormat="1" ht="78" customHeight="1" x14ac:dyDescent="1.05">
      <c r="A115" s="21"/>
      <c r="B115" s="55"/>
      <c r="C115" s="21"/>
      <c r="D115" s="21"/>
      <c r="E115" s="21"/>
      <c r="F115" s="22"/>
      <c r="G115" s="22"/>
      <c r="H115" s="22"/>
      <c r="AW115" s="27"/>
      <c r="AX115" s="27"/>
      <c r="BA115" s="27"/>
      <c r="BB115" s="27"/>
      <c r="BC115" s="27"/>
      <c r="BD115" s="27"/>
      <c r="BG115" s="27"/>
      <c r="BH115" s="27"/>
      <c r="BI115" s="27"/>
      <c r="BP115" s="27"/>
      <c r="BQ115" s="27"/>
      <c r="CC115" s="27"/>
      <c r="CD115" s="27"/>
      <c r="CE115" s="27"/>
      <c r="CF115" s="27"/>
      <c r="CG115" s="27"/>
      <c r="CJ115" s="27"/>
      <c r="CK115" s="27"/>
      <c r="CL115" s="27"/>
      <c r="CM115" s="27"/>
      <c r="CN115" s="222" t="s">
        <v>345</v>
      </c>
      <c r="CO115" s="222"/>
      <c r="CP115" s="85"/>
      <c r="CQ115" s="85"/>
      <c r="CR115" s="75"/>
      <c r="CS115" s="220"/>
      <c r="CT115" s="220"/>
      <c r="CU115" s="75"/>
      <c r="CV115" s="27"/>
      <c r="CW115" s="27" t="s">
        <v>271</v>
      </c>
      <c r="CX115" s="27"/>
    </row>
    <row r="116" spans="1:102" ht="25.5" x14ac:dyDescent="0.35">
      <c r="A116" s="24"/>
      <c r="B116" s="24"/>
      <c r="C116" s="24"/>
      <c r="D116" s="24"/>
      <c r="E116" s="2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Y116" s="26"/>
      <c r="BZ116" s="26"/>
      <c r="CA116" s="26"/>
      <c r="CB116" s="26"/>
    </row>
    <row r="117" spans="1:102" ht="25.5" x14ac:dyDescent="0.35">
      <c r="A117" s="24"/>
      <c r="B117" s="24"/>
      <c r="C117" s="24"/>
      <c r="D117" s="24"/>
      <c r="E117" s="24"/>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Y117" s="26"/>
      <c r="BZ117" s="26"/>
      <c r="CA117" s="26"/>
      <c r="CB117" s="26"/>
    </row>
    <row r="118" spans="1:102" ht="25.5" x14ac:dyDescent="0.35">
      <c r="A118" s="24"/>
      <c r="B118" s="24"/>
      <c r="C118" s="24"/>
      <c r="D118" s="24"/>
      <c r="E118" s="2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Y118" s="26"/>
      <c r="BZ118" s="26"/>
      <c r="CA118" s="26"/>
      <c r="CB118" s="26"/>
    </row>
    <row r="119" spans="1:102" s="26" customFormat="1" ht="60.75" x14ac:dyDescent="0.35">
      <c r="A119" s="32"/>
      <c r="B119" s="32"/>
      <c r="C119" s="32"/>
      <c r="D119" s="32"/>
      <c r="E119" s="32"/>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Y119" s="86">
        <v>10802521498.269999</v>
      </c>
      <c r="BZ119" s="34"/>
      <c r="CA119" s="34"/>
      <c r="CB119" s="34"/>
    </row>
    <row r="120" spans="1:102" s="26" customFormat="1" ht="25.5" x14ac:dyDescent="0.35">
      <c r="A120" s="32"/>
      <c r="B120" s="32"/>
      <c r="C120" s="32"/>
      <c r="D120" s="32"/>
      <c r="E120" s="32"/>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row>
    <row r="121" spans="1:102" s="26" customFormat="1" ht="59.25" x14ac:dyDescent="0.35">
      <c r="A121" s="32"/>
      <c r="B121" s="32"/>
      <c r="C121" s="32"/>
      <c r="D121" s="32"/>
      <c r="E121" s="3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Y121" s="34">
        <f>BY119-BY113</f>
        <v>0</v>
      </c>
      <c r="CR121" s="29" t="s">
        <v>319</v>
      </c>
      <c r="CW121" s="59"/>
    </row>
    <row r="122" spans="1:102" s="26" customFormat="1" ht="59.25" x14ac:dyDescent="0.35">
      <c r="A122" s="32"/>
      <c r="B122" s="32"/>
      <c r="C122" s="32"/>
      <c r="D122" s="32"/>
      <c r="E122" s="32"/>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CR122" s="26" t="s">
        <v>318</v>
      </c>
      <c r="CW122" s="29">
        <f>CW113-CW123</f>
        <v>0</v>
      </c>
    </row>
    <row r="123" spans="1:102" s="26" customFormat="1" ht="59.25" x14ac:dyDescent="0.35">
      <c r="A123" s="32"/>
      <c r="B123" s="32"/>
      <c r="C123" s="32"/>
      <c r="D123" s="32"/>
      <c r="E123" s="32"/>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Y123" s="58"/>
      <c r="CW123" s="29">
        <v>220112030</v>
      </c>
    </row>
    <row r="124" spans="1:102" s="26" customFormat="1" ht="59.25" x14ac:dyDescent="0.35">
      <c r="A124" s="32"/>
      <c r="B124" s="32"/>
      <c r="C124" s="32"/>
      <c r="D124" s="32"/>
      <c r="E124" s="32"/>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CW124" s="29">
        <f>CW113-CW123</f>
        <v>0</v>
      </c>
    </row>
    <row r="125" spans="1:102" s="26" customFormat="1" ht="59.25" x14ac:dyDescent="0.35">
      <c r="A125" s="32"/>
      <c r="B125" s="32"/>
      <c r="C125" s="32"/>
      <c r="D125" s="32"/>
      <c r="E125" s="3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CW125" s="29">
        <f>CW123-CW113</f>
        <v>0</v>
      </c>
    </row>
    <row r="126" spans="1:102" s="26" customFormat="1" ht="25.5" x14ac:dyDescent="0.35">
      <c r="A126" s="32"/>
      <c r="B126" s="32"/>
      <c r="C126" s="32"/>
      <c r="D126" s="32"/>
      <c r="E126" s="3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row>
    <row r="127" spans="1:102" s="26" customFormat="1" ht="25.5" x14ac:dyDescent="0.35">
      <c r="A127" s="32"/>
      <c r="B127" s="32"/>
      <c r="C127" s="32"/>
      <c r="D127" s="32"/>
      <c r="E127" s="3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row>
    <row r="128" spans="1:102" ht="25.5" x14ac:dyDescent="0.35">
      <c r="A128" s="24"/>
      <c r="B128" s="24"/>
      <c r="C128" s="24"/>
      <c r="D128" s="24"/>
      <c r="E128" s="24"/>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row>
    <row r="129" spans="1:57" ht="25.5" x14ac:dyDescent="0.35">
      <c r="A129" s="24"/>
      <c r="B129" s="24"/>
      <c r="C129" s="24"/>
      <c r="D129" s="24"/>
      <c r="E129" s="24"/>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row>
    <row r="130" spans="1:57" ht="25.5" x14ac:dyDescent="0.35">
      <c r="A130" s="24"/>
      <c r="B130" s="24"/>
      <c r="C130" s="24"/>
      <c r="D130" s="24"/>
      <c r="E130" s="24"/>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row>
    <row r="131" spans="1:57" ht="25.5" x14ac:dyDescent="0.35">
      <c r="A131" s="24"/>
      <c r="B131" s="24"/>
      <c r="C131" s="24"/>
      <c r="D131" s="24"/>
      <c r="E131" s="24"/>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row>
    <row r="132" spans="1:57" ht="25.5" x14ac:dyDescent="0.35">
      <c r="A132" s="24"/>
      <c r="B132" s="24"/>
      <c r="C132" s="24"/>
      <c r="D132" s="24"/>
      <c r="E132" s="2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row>
    <row r="133" spans="1:57" x14ac:dyDescent="0.2">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row>
    <row r="134" spans="1:57" x14ac:dyDescent="0.2">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row>
    <row r="135" spans="1:57" x14ac:dyDescent="0.2">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row>
    <row r="136" spans="1:57" x14ac:dyDescent="0.2">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row>
    <row r="137" spans="1:57" x14ac:dyDescent="0.2">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row>
    <row r="138" spans="1:57" x14ac:dyDescent="0.2">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row>
    <row r="139" spans="1:57" x14ac:dyDescent="0.2">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row>
    <row r="140" spans="1:57" x14ac:dyDescent="0.2">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row>
    <row r="141" spans="1:57" x14ac:dyDescent="0.2">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row>
    <row r="142" spans="1:57" x14ac:dyDescent="0.2">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row>
    <row r="143" spans="1:57" x14ac:dyDescent="0.2">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row>
    <row r="144" spans="1:57" x14ac:dyDescent="0.2">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row>
    <row r="145" spans="9:57" x14ac:dyDescent="0.2">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row>
    <row r="146" spans="9:57" x14ac:dyDescent="0.2">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row>
    <row r="147" spans="9:57" x14ac:dyDescent="0.2">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row>
    <row r="148" spans="9:57" x14ac:dyDescent="0.2">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row>
    <row r="149" spans="9:57" x14ac:dyDescent="0.2">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row>
    <row r="150" spans="9:57" x14ac:dyDescent="0.2">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row>
    <row r="151" spans="9:57" x14ac:dyDescent="0.2">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row>
    <row r="152" spans="9:57" x14ac:dyDescent="0.2">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row>
    <row r="153" spans="9:57" x14ac:dyDescent="0.2">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row>
    <row r="154" spans="9:57" x14ac:dyDescent="0.2">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row>
    <row r="155" spans="9:57" x14ac:dyDescent="0.2">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row>
    <row r="156" spans="9:57" x14ac:dyDescent="0.2">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row>
    <row r="157" spans="9:57" x14ac:dyDescent="0.2">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row>
    <row r="158" spans="9:57" x14ac:dyDescent="0.2">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row>
    <row r="159" spans="9:57" x14ac:dyDescent="0.2">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row>
    <row r="160" spans="9:57" x14ac:dyDescent="0.2">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row>
    <row r="161" spans="9:57" x14ac:dyDescent="0.2">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row>
    <row r="162" spans="9:57" x14ac:dyDescent="0.2">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row>
    <row r="163" spans="9:57" x14ac:dyDescent="0.2">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row>
    <row r="164" spans="9:57" x14ac:dyDescent="0.2">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row>
    <row r="165" spans="9:57" x14ac:dyDescent="0.2">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row>
    <row r="166" spans="9:57" x14ac:dyDescent="0.2">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row>
    <row r="167" spans="9:57" x14ac:dyDescent="0.2">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row>
    <row r="168" spans="9:57" x14ac:dyDescent="0.2">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row>
    <row r="169" spans="9:57" x14ac:dyDescent="0.2">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row>
    <row r="170" spans="9:57" x14ac:dyDescent="0.2">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row>
    <row r="171" spans="9:57" x14ac:dyDescent="0.2">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row>
    <row r="172" spans="9:57" x14ac:dyDescent="0.2">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row>
    <row r="173" spans="9:57" x14ac:dyDescent="0.2">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row>
    <row r="174" spans="9:57" x14ac:dyDescent="0.2">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row>
    <row r="175" spans="9:57" x14ac:dyDescent="0.2">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row>
    <row r="176" spans="9:57" x14ac:dyDescent="0.2">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row>
    <row r="177" spans="9:57" x14ac:dyDescent="0.2">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row>
    <row r="178" spans="9:57" x14ac:dyDescent="0.2">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row>
    <row r="179" spans="9:57" x14ac:dyDescent="0.2">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row>
    <row r="180" spans="9:57" x14ac:dyDescent="0.2">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row>
    <row r="181" spans="9:57" x14ac:dyDescent="0.2">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row>
    <row r="182" spans="9:57" x14ac:dyDescent="0.2">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row>
    <row r="183" spans="9:57" x14ac:dyDescent="0.2">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row>
    <row r="184" spans="9:57" x14ac:dyDescent="0.2">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row>
    <row r="185" spans="9:57" x14ac:dyDescent="0.2">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row>
    <row r="186" spans="9:57" x14ac:dyDescent="0.2">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row>
    <row r="187" spans="9:57" x14ac:dyDescent="0.2">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row>
    <row r="188" spans="9:57" x14ac:dyDescent="0.2">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row>
    <row r="189" spans="9:57" x14ac:dyDescent="0.2">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row>
    <row r="190" spans="9:57" x14ac:dyDescent="0.2">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row>
    <row r="191" spans="9:57" x14ac:dyDescent="0.2">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row>
    <row r="192" spans="9:57" x14ac:dyDescent="0.2">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row>
    <row r="193" spans="9:57" x14ac:dyDescent="0.2">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row>
    <row r="194" spans="9:57" x14ac:dyDescent="0.2">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row>
    <row r="195" spans="9:57" x14ac:dyDescent="0.2">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row>
    <row r="196" spans="9:57" x14ac:dyDescent="0.2">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row>
    <row r="197" spans="9:57" x14ac:dyDescent="0.2">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row>
    <row r="198" spans="9:57" x14ac:dyDescent="0.2">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row>
    <row r="199" spans="9:57" x14ac:dyDescent="0.2">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row>
    <row r="200" spans="9:57" x14ac:dyDescent="0.2">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row>
    <row r="201" spans="9:57" x14ac:dyDescent="0.2">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row>
    <row r="202" spans="9:57" x14ac:dyDescent="0.2">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row>
    <row r="203" spans="9:57" x14ac:dyDescent="0.2">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row>
    <row r="204" spans="9:57" x14ac:dyDescent="0.2">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row>
    <row r="205" spans="9:57" x14ac:dyDescent="0.2">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row>
    <row r="206" spans="9:57" x14ac:dyDescent="0.2">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row>
    <row r="207" spans="9:57" x14ac:dyDescent="0.2">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row>
    <row r="208" spans="9:57" x14ac:dyDescent="0.2">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row>
    <row r="209" spans="9:57" x14ac:dyDescent="0.2">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row>
    <row r="210" spans="9:57" x14ac:dyDescent="0.2">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row>
    <row r="211" spans="9:57" x14ac:dyDescent="0.2">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row>
    <row r="212" spans="9:57" x14ac:dyDescent="0.2">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row>
    <row r="213" spans="9:57" x14ac:dyDescent="0.2">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row>
    <row r="214" spans="9:57" x14ac:dyDescent="0.2">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row>
    <row r="215" spans="9:57" x14ac:dyDescent="0.2">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row>
    <row r="216" spans="9:57" x14ac:dyDescent="0.2">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row>
    <row r="217" spans="9:57" x14ac:dyDescent="0.2">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row>
    <row r="218" spans="9:57" x14ac:dyDescent="0.2">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row>
    <row r="219" spans="9:57" x14ac:dyDescent="0.2">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row>
    <row r="220" spans="9:57" x14ac:dyDescent="0.2">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row>
    <row r="221" spans="9:57" x14ac:dyDescent="0.2">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row>
    <row r="222" spans="9:57" x14ac:dyDescent="0.2">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row>
    <row r="223" spans="9:57" x14ac:dyDescent="0.2">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row>
    <row r="224" spans="9:57" x14ac:dyDescent="0.2">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row>
    <row r="225" spans="9:57" x14ac:dyDescent="0.2">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row>
    <row r="226" spans="9:57" x14ac:dyDescent="0.2">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row>
    <row r="227" spans="9:57" x14ac:dyDescent="0.2">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row>
    <row r="228" spans="9:57" x14ac:dyDescent="0.2">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row>
    <row r="229" spans="9:57" x14ac:dyDescent="0.2">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row>
    <row r="230" spans="9:57" x14ac:dyDescent="0.2">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row>
    <row r="231" spans="9:57" x14ac:dyDescent="0.2">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row>
    <row r="232" spans="9:57" x14ac:dyDescent="0.2">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row>
    <row r="233" spans="9:57" x14ac:dyDescent="0.2">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row>
    <row r="234" spans="9:57" x14ac:dyDescent="0.2">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row>
    <row r="235" spans="9:57" x14ac:dyDescent="0.2">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row>
    <row r="236" spans="9:57" x14ac:dyDescent="0.2">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row>
    <row r="237" spans="9:57" x14ac:dyDescent="0.2">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row>
    <row r="238" spans="9:57" x14ac:dyDescent="0.2">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row>
    <row r="239" spans="9:57" x14ac:dyDescent="0.2">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row>
    <row r="240" spans="9:57" x14ac:dyDescent="0.2">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row>
    <row r="241" spans="9:57" x14ac:dyDescent="0.2">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row>
    <row r="242" spans="9:57" x14ac:dyDescent="0.2">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row>
    <row r="243" spans="9:57" x14ac:dyDescent="0.2">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row>
    <row r="244" spans="9:57" x14ac:dyDescent="0.2">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row>
    <row r="245" spans="9:57" x14ac:dyDescent="0.2">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row>
    <row r="246" spans="9:57" x14ac:dyDescent="0.2">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row>
    <row r="247" spans="9:57" x14ac:dyDescent="0.2">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row>
    <row r="248" spans="9:57" x14ac:dyDescent="0.2">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row>
    <row r="249" spans="9:57" x14ac:dyDescent="0.2">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row>
    <row r="250" spans="9:57" x14ac:dyDescent="0.2">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row>
    <row r="251" spans="9:57" x14ac:dyDescent="0.2">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row>
    <row r="252" spans="9:57" x14ac:dyDescent="0.2">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row>
    <row r="253" spans="9:57" x14ac:dyDescent="0.2">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row>
    <row r="254" spans="9:57" x14ac:dyDescent="0.2">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row>
    <row r="255" spans="9:57" x14ac:dyDescent="0.2">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row>
    <row r="256" spans="9:57" x14ac:dyDescent="0.2">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row>
    <row r="257" spans="9:57" x14ac:dyDescent="0.2">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row>
    <row r="258" spans="9:57" x14ac:dyDescent="0.2">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row>
    <row r="259" spans="9:57" x14ac:dyDescent="0.2">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row>
    <row r="260" spans="9:57" x14ac:dyDescent="0.2">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row>
    <row r="261" spans="9:57" x14ac:dyDescent="0.2">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row>
    <row r="262" spans="9:57" x14ac:dyDescent="0.2">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row>
    <row r="263" spans="9:57" x14ac:dyDescent="0.2">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row>
    <row r="264" spans="9:57" x14ac:dyDescent="0.2">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row>
    <row r="265" spans="9:57" x14ac:dyDescent="0.2">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row>
    <row r="266" spans="9:57" x14ac:dyDescent="0.2">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row>
    <row r="267" spans="9:57" x14ac:dyDescent="0.2">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row>
  </sheetData>
  <sheetProtection selectLockedCells="1" selectUnlockedCells="1"/>
  <mergeCells count="173">
    <mergeCell ref="CS115:CT115"/>
    <mergeCell ref="CT10:CT12"/>
    <mergeCell ref="CP10:CP12"/>
    <mergeCell ref="CN6:CU6"/>
    <mergeCell ref="CR7:CU7"/>
    <mergeCell ref="CN8:CU8"/>
    <mergeCell ref="CU10:CU12"/>
    <mergeCell ref="CN114:CO114"/>
    <mergeCell ref="CN115:CO115"/>
    <mergeCell ref="CR10:CR12"/>
    <mergeCell ref="CS114:CT114"/>
    <mergeCell ref="BB11:BB12"/>
    <mergeCell ref="BC11:BC12"/>
    <mergeCell ref="BZ10:BZ12"/>
    <mergeCell ref="CA10:CA12"/>
    <mergeCell ref="CB10:CB12"/>
    <mergeCell ref="BT10:BU12"/>
    <mergeCell ref="BV10:BW12"/>
    <mergeCell ref="BH10:BH12"/>
    <mergeCell ref="CV10:CV12"/>
    <mergeCell ref="N11:N12"/>
    <mergeCell ref="O11:O12"/>
    <mergeCell ref="P11:P12"/>
    <mergeCell ref="Q11:Q12"/>
    <mergeCell ref="R11:R12"/>
    <mergeCell ref="CS10:CS12"/>
    <mergeCell ref="CK10:CK12"/>
    <mergeCell ref="CQ10:CQ12"/>
    <mergeCell ref="CO10:CO12"/>
    <mergeCell ref="BJ10:BJ12"/>
    <mergeCell ref="BK10:BK12"/>
    <mergeCell ref="BL10:BL12"/>
    <mergeCell ref="AZ10:AZ12"/>
    <mergeCell ref="AS11:AS12"/>
    <mergeCell ref="AT11:AT12"/>
    <mergeCell ref="BA10:BA12"/>
    <mergeCell ref="BB10:BC10"/>
    <mergeCell ref="AU10:AU12"/>
    <mergeCell ref="BX10:BX12"/>
    <mergeCell ref="BM10:BM12"/>
    <mergeCell ref="BN10:BO12"/>
    <mergeCell ref="BP10:BP12"/>
    <mergeCell ref="BQ10:BQ12"/>
    <mergeCell ref="BD10:BD12"/>
    <mergeCell ref="BE10:BE12"/>
    <mergeCell ref="BF10:BF12"/>
    <mergeCell ref="BG10:BG12"/>
    <mergeCell ref="BI10:BI12"/>
    <mergeCell ref="AN11:AN12"/>
    <mergeCell ref="AV10:AV12"/>
    <mergeCell ref="AW10:AW12"/>
    <mergeCell ref="AX10:AX12"/>
    <mergeCell ref="AY10:AY12"/>
    <mergeCell ref="AQ11:AQ12"/>
    <mergeCell ref="AO11:AO12"/>
    <mergeCell ref="AM10:AM12"/>
    <mergeCell ref="AN10:AO10"/>
    <mergeCell ref="AP10:AP12"/>
    <mergeCell ref="AQ10:AT10"/>
    <mergeCell ref="AR11:AR12"/>
    <mergeCell ref="AE10:AE12"/>
    <mergeCell ref="AF10:AL10"/>
    <mergeCell ref="AF11:AF12"/>
    <mergeCell ref="AG11:AG12"/>
    <mergeCell ref="AH11:AH12"/>
    <mergeCell ref="AJ11:AJ12"/>
    <mergeCell ref="AK11:AK12"/>
    <mergeCell ref="AL11:AL12"/>
    <mergeCell ref="V10:V12"/>
    <mergeCell ref="W10:W12"/>
    <mergeCell ref="X10:X12"/>
    <mergeCell ref="Y10:Y12"/>
    <mergeCell ref="Z10:Z12"/>
    <mergeCell ref="AA10:AA12"/>
    <mergeCell ref="CC9:CD9"/>
    <mergeCell ref="I10:I12"/>
    <mergeCell ref="K10:K12"/>
    <mergeCell ref="L10:L12"/>
    <mergeCell ref="M10:M12"/>
    <mergeCell ref="N10:R10"/>
    <mergeCell ref="J10:J12"/>
    <mergeCell ref="S10:S12"/>
    <mergeCell ref="T10:T12"/>
    <mergeCell ref="AI11:AI12"/>
    <mergeCell ref="AE9:AL9"/>
    <mergeCell ref="AM9:AO9"/>
    <mergeCell ref="AP9:AT9"/>
    <mergeCell ref="AZ9:BC9"/>
    <mergeCell ref="BG9:BH9"/>
    <mergeCell ref="AB9:AD9"/>
    <mergeCell ref="AN7:AT7"/>
    <mergeCell ref="AU7:AX7"/>
    <mergeCell ref="AY7:BC7"/>
    <mergeCell ref="BT7:BX7"/>
    <mergeCell ref="BZ7:CC7"/>
    <mergeCell ref="Z8:AL8"/>
    <mergeCell ref="AM8:AT8"/>
    <mergeCell ref="BT8:BX8"/>
    <mergeCell ref="CW6:CW12"/>
    <mergeCell ref="CC10:CD12"/>
    <mergeCell ref="CE10:CE12"/>
    <mergeCell ref="CF10:CF12"/>
    <mergeCell ref="CG10:CG12"/>
    <mergeCell ref="I7:R7"/>
    <mergeCell ref="S7:V7"/>
    <mergeCell ref="W7:Y7"/>
    <mergeCell ref="Z7:AA7"/>
    <mergeCell ref="AG7:AL7"/>
    <mergeCell ref="BZ6:CF6"/>
    <mergeCell ref="BD7:BE7"/>
    <mergeCell ref="BF7:BL7"/>
    <mergeCell ref="BM7:BP7"/>
    <mergeCell ref="BQ7:BS7"/>
    <mergeCell ref="CN9:CU9"/>
    <mergeCell ref="CG9:CM9"/>
    <mergeCell ref="CD7:CF7"/>
    <mergeCell ref="BZ8:CF8"/>
    <mergeCell ref="BD6:BE6"/>
    <mergeCell ref="BT6:BX6"/>
    <mergeCell ref="BY6:BY12"/>
    <mergeCell ref="AU8:BC8"/>
    <mergeCell ref="BD8:BE8"/>
    <mergeCell ref="BG8:BL8"/>
    <mergeCell ref="BM8:BS8"/>
    <mergeCell ref="BI9:BL9"/>
    <mergeCell ref="BQ9:BR9"/>
    <mergeCell ref="BR10:BR12"/>
    <mergeCell ref="BS10:BS12"/>
    <mergeCell ref="A6:A12"/>
    <mergeCell ref="B6:B12"/>
    <mergeCell ref="I6:R6"/>
    <mergeCell ref="S6:V6"/>
    <mergeCell ref="W6:Y6"/>
    <mergeCell ref="S8:V8"/>
    <mergeCell ref="W8:Y8"/>
    <mergeCell ref="U10:U12"/>
    <mergeCell ref="D6:H6"/>
    <mergeCell ref="J8:R8"/>
    <mergeCell ref="CN10:CN12"/>
    <mergeCell ref="F1:H1"/>
    <mergeCell ref="F2:H2"/>
    <mergeCell ref="C3:G3"/>
    <mergeCell ref="C4:H4"/>
    <mergeCell ref="C10:C12"/>
    <mergeCell ref="E10:E12"/>
    <mergeCell ref="F10:F12"/>
    <mergeCell ref="G10:G12"/>
    <mergeCell ref="H10:H12"/>
    <mergeCell ref="CG8:CM8"/>
    <mergeCell ref="CH10:CH12"/>
    <mergeCell ref="CI10:CI12"/>
    <mergeCell ref="CJ10:CJ12"/>
    <mergeCell ref="CL10:CL12"/>
    <mergeCell ref="CM10:CM12"/>
    <mergeCell ref="CL4:CM4"/>
    <mergeCell ref="BH4:BK4"/>
    <mergeCell ref="Z6:AL6"/>
    <mergeCell ref="AM6:AT6"/>
    <mergeCell ref="AU6:BC6"/>
    <mergeCell ref="CN7:CQ7"/>
    <mergeCell ref="CG6:CM6"/>
    <mergeCell ref="CG7:CM7"/>
    <mergeCell ref="BF6:BL6"/>
    <mergeCell ref="BM6:BS6"/>
    <mergeCell ref="D7:H7"/>
    <mergeCell ref="D10:D12"/>
    <mergeCell ref="AC10:AD10"/>
    <mergeCell ref="AC7:AD7"/>
    <mergeCell ref="AB10:AB12"/>
    <mergeCell ref="AC11:AC12"/>
    <mergeCell ref="AD11:AD12"/>
    <mergeCell ref="F8:H8"/>
    <mergeCell ref="M9:R9"/>
  </mergeCells>
  <printOptions horizontalCentered="1"/>
  <pageMargins left="0.6692913385826772" right="0.15748031496062992" top="0.43307086614173229" bottom="0.70866141732283472" header="0" footer="0"/>
  <pageSetup paperSize="9" scale="10" firstPageNumber="0" fitToWidth="0" fitToHeight="0" orientation="portrait" horizontalDpi="300" verticalDpi="300" r:id="rId1"/>
  <headerFooter differentFirst="1" alignWithMargins="0">
    <oddHeader>&amp;C&amp;"Times New Roman,обычный"&amp;54&amp;P</oddHeader>
  </headerFooter>
  <colBreaks count="2" manualBreakCount="2">
    <brk id="25" max="113" man="1"/>
    <brk id="37" max="1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8"/>
  <sheetViews>
    <sheetView showZeros="0" tabSelected="1" view="pageBreakPreview" zoomScale="20" zoomScaleNormal="25" zoomScaleSheetLayoutView="20" workbookViewId="0">
      <pane xSplit="2" ySplit="12" topLeftCell="C103" activePane="bottomRight" state="frozen"/>
      <selection pane="topRight" activeCell="C1" sqref="C1"/>
      <selection pane="bottomLeft" activeCell="A14" sqref="A14"/>
      <selection pane="bottomRight" activeCell="D114" sqref="D114"/>
    </sheetView>
  </sheetViews>
  <sheetFormatPr defaultRowHeight="12.75" x14ac:dyDescent="0.2"/>
  <cols>
    <col min="1" max="1" width="52.28515625" style="2" customWidth="1"/>
    <col min="2" max="2" width="171" style="2" customWidth="1"/>
    <col min="3" max="3" width="83.140625" style="2" customWidth="1"/>
    <col min="4" max="4" width="207.42578125" style="2" customWidth="1"/>
    <col min="5" max="5" width="134.5703125" style="2" customWidth="1"/>
    <col min="6" max="6" width="131" style="2" customWidth="1"/>
    <col min="7" max="7" width="171.42578125" style="2" customWidth="1"/>
    <col min="8" max="8" width="227.85546875" style="2" customWidth="1"/>
    <col min="9" max="9" width="215" style="2" customWidth="1"/>
    <col min="10" max="10" width="228.5703125" style="2" customWidth="1"/>
    <col min="11" max="11" width="89.28515625" style="2" customWidth="1"/>
    <col min="12" max="12" width="81.42578125" style="2" customWidth="1"/>
    <col min="13" max="13" width="82.140625" style="2" customWidth="1"/>
    <col min="14" max="14" width="112.85546875" style="2" customWidth="1"/>
    <col min="15" max="15" width="126.42578125" style="2" customWidth="1"/>
    <col min="16" max="16" width="70" style="2" customWidth="1"/>
    <col min="17" max="17" width="92.85546875" style="2" customWidth="1"/>
    <col min="18" max="18" width="78.28515625" style="2" customWidth="1"/>
    <col min="19" max="19" width="212.7109375" style="2" customWidth="1"/>
    <col min="20" max="20" width="197.7109375" style="2" customWidth="1"/>
    <col min="21" max="21" width="255.5703125" style="2" customWidth="1"/>
    <col min="22" max="22" width="87" style="2" customWidth="1"/>
    <col min="23" max="16384" width="9.140625" style="2"/>
  </cols>
  <sheetData>
    <row r="1" spans="1:23" ht="55.5" customHeight="1" x14ac:dyDescent="0.95">
      <c r="A1" s="1"/>
      <c r="F1" s="227" t="s">
        <v>365</v>
      </c>
      <c r="G1" s="227"/>
      <c r="H1" s="35"/>
      <c r="I1" s="94"/>
      <c r="J1" s="35"/>
      <c r="K1" s="35"/>
      <c r="L1" s="35"/>
      <c r="M1" s="35"/>
      <c r="N1" s="35"/>
      <c r="O1" s="35"/>
      <c r="P1" s="35"/>
      <c r="Q1" s="35"/>
    </row>
    <row r="2" spans="1:23" ht="72.75" customHeight="1" x14ac:dyDescent="0.95">
      <c r="A2" s="1"/>
      <c r="F2" s="145" t="s">
        <v>364</v>
      </c>
      <c r="G2" s="145"/>
      <c r="H2" s="35"/>
      <c r="I2" s="94"/>
      <c r="J2" s="35"/>
      <c r="K2" s="35"/>
      <c r="L2" s="35"/>
      <c r="M2" s="35"/>
      <c r="N2" s="35"/>
      <c r="O2" s="35"/>
      <c r="P2" s="35"/>
      <c r="Q2" s="35"/>
    </row>
    <row r="3" spans="1:23" ht="87.75" customHeight="1" x14ac:dyDescent="0.95">
      <c r="A3" s="1"/>
      <c r="D3" s="147" t="s">
        <v>348</v>
      </c>
      <c r="E3" s="147"/>
      <c r="F3" s="147"/>
      <c r="G3" s="147"/>
      <c r="H3" s="53"/>
      <c r="I3" s="53"/>
      <c r="J3" s="35"/>
      <c r="K3" s="35"/>
      <c r="L3" s="35"/>
      <c r="M3" s="35"/>
      <c r="N3" s="35"/>
      <c r="O3" s="35"/>
      <c r="P3" s="35"/>
      <c r="Q3" s="35"/>
      <c r="U3" s="41"/>
    </row>
    <row r="4" spans="1:23" ht="45" customHeight="1" x14ac:dyDescent="0.95">
      <c r="A4" s="6"/>
      <c r="F4" s="26"/>
      <c r="G4" s="56" t="s">
        <v>0</v>
      </c>
      <c r="H4" s="56"/>
      <c r="I4" s="79"/>
      <c r="J4" s="40" t="s">
        <v>0</v>
      </c>
      <c r="K4" s="31"/>
      <c r="L4" s="31"/>
      <c r="M4" s="31"/>
      <c r="N4" s="31"/>
      <c r="O4" s="31"/>
      <c r="P4" s="40"/>
      <c r="Q4" s="138" t="s">
        <v>0</v>
      </c>
      <c r="R4" s="138"/>
      <c r="S4" s="41"/>
      <c r="T4" s="41"/>
      <c r="U4" s="41" t="s">
        <v>0</v>
      </c>
    </row>
    <row r="5" spans="1:23" s="9" customFormat="1" ht="18.75" customHeight="1" x14ac:dyDescent="1">
      <c r="A5" s="8"/>
      <c r="B5" s="8"/>
      <c r="C5" s="8"/>
      <c r="D5" s="8"/>
      <c r="E5" s="8"/>
      <c r="F5" s="49"/>
      <c r="G5" s="49"/>
      <c r="H5" s="8"/>
      <c r="I5" s="8"/>
      <c r="J5" s="8"/>
      <c r="K5" s="8"/>
      <c r="L5" s="8"/>
      <c r="M5" s="8"/>
      <c r="N5" s="8"/>
      <c r="O5" s="8"/>
      <c r="P5" s="8"/>
      <c r="Q5" s="8"/>
      <c r="R5" s="8"/>
      <c r="U5" s="8"/>
    </row>
    <row r="6" spans="1:23" s="67" customFormat="1" ht="161.25" customHeight="1" x14ac:dyDescent="0.7">
      <c r="A6" s="153" t="s">
        <v>1</v>
      </c>
      <c r="B6" s="153" t="s">
        <v>48</v>
      </c>
      <c r="C6" s="124" t="s">
        <v>81</v>
      </c>
      <c r="D6" s="139"/>
      <c r="E6" s="139"/>
      <c r="F6" s="139"/>
      <c r="G6" s="125"/>
      <c r="H6" s="224" t="s">
        <v>81</v>
      </c>
      <c r="I6" s="224"/>
      <c r="J6" s="224"/>
      <c r="K6" s="224" t="s">
        <v>81</v>
      </c>
      <c r="L6" s="224"/>
      <c r="M6" s="224"/>
      <c r="N6" s="224"/>
      <c r="O6" s="224"/>
      <c r="P6" s="224"/>
      <c r="Q6" s="224"/>
      <c r="R6" s="153" t="s">
        <v>3</v>
      </c>
      <c r="S6" s="124" t="s">
        <v>255</v>
      </c>
      <c r="T6" s="125"/>
      <c r="U6" s="166" t="s">
        <v>3</v>
      </c>
      <c r="V6" s="65"/>
      <c r="W6" s="66"/>
    </row>
    <row r="7" spans="1:23" s="10" customFormat="1" ht="57.75" customHeight="1" x14ac:dyDescent="0.2">
      <c r="A7" s="154"/>
      <c r="B7" s="154"/>
      <c r="C7" s="228" t="s">
        <v>4</v>
      </c>
      <c r="D7" s="229"/>
      <c r="E7" s="229"/>
      <c r="F7" s="229"/>
      <c r="G7" s="230"/>
      <c r="H7" s="225" t="s">
        <v>4</v>
      </c>
      <c r="I7" s="225"/>
      <c r="J7" s="225"/>
      <c r="K7" s="225" t="s">
        <v>4</v>
      </c>
      <c r="L7" s="225"/>
      <c r="M7" s="225"/>
      <c r="N7" s="225"/>
      <c r="O7" s="225"/>
      <c r="P7" s="225"/>
      <c r="Q7" s="225"/>
      <c r="R7" s="154"/>
      <c r="S7" s="116" t="s">
        <v>5</v>
      </c>
      <c r="T7" s="118"/>
      <c r="U7" s="167"/>
      <c r="V7" s="37"/>
      <c r="W7" s="36"/>
    </row>
    <row r="8" spans="1:23" s="64" customFormat="1" ht="83.25" customHeight="1" x14ac:dyDescent="0.55000000000000004">
      <c r="A8" s="154"/>
      <c r="B8" s="154"/>
      <c r="C8" s="112"/>
      <c r="D8" s="226" t="s">
        <v>6</v>
      </c>
      <c r="E8" s="226"/>
      <c r="F8" s="226"/>
      <c r="G8" s="226"/>
      <c r="H8" s="226" t="s">
        <v>87</v>
      </c>
      <c r="I8" s="226"/>
      <c r="J8" s="226"/>
      <c r="K8" s="226" t="s">
        <v>87</v>
      </c>
      <c r="L8" s="226"/>
      <c r="M8" s="226"/>
      <c r="N8" s="226"/>
      <c r="O8" s="226"/>
      <c r="P8" s="226"/>
      <c r="Q8" s="226"/>
      <c r="R8" s="154"/>
      <c r="S8" s="140" t="s">
        <v>87</v>
      </c>
      <c r="T8" s="165"/>
      <c r="U8" s="167"/>
      <c r="V8" s="62"/>
      <c r="W8" s="63"/>
    </row>
    <row r="9" spans="1:23" s="10" customFormat="1" ht="54.75" customHeight="1" x14ac:dyDescent="0.2">
      <c r="A9" s="154"/>
      <c r="B9" s="154"/>
      <c r="C9" s="11" t="s">
        <v>355</v>
      </c>
      <c r="D9" s="11" t="s">
        <v>89</v>
      </c>
      <c r="E9" s="11" t="s">
        <v>90</v>
      </c>
      <c r="F9" s="11" t="s">
        <v>91</v>
      </c>
      <c r="G9" s="11" t="s">
        <v>92</v>
      </c>
      <c r="H9" s="11" t="s">
        <v>295</v>
      </c>
      <c r="I9" s="11" t="s">
        <v>321</v>
      </c>
      <c r="J9" s="11" t="s">
        <v>305</v>
      </c>
      <c r="K9" s="223" t="s">
        <v>350</v>
      </c>
      <c r="L9" s="223"/>
      <c r="M9" s="223"/>
      <c r="N9" s="223" t="s">
        <v>273</v>
      </c>
      <c r="O9" s="223"/>
      <c r="P9" s="11" t="s">
        <v>283</v>
      </c>
      <c r="Q9" s="11" t="s">
        <v>163</v>
      </c>
      <c r="R9" s="154"/>
      <c r="S9" s="77" t="s">
        <v>199</v>
      </c>
      <c r="T9" s="97" t="s">
        <v>192</v>
      </c>
      <c r="U9" s="167"/>
      <c r="V9" s="37"/>
      <c r="W9" s="36"/>
    </row>
    <row r="10" spans="1:23" s="44" customFormat="1" ht="63" customHeight="1" x14ac:dyDescent="0.65">
      <c r="A10" s="154"/>
      <c r="B10" s="154"/>
      <c r="C10" s="153" t="s">
        <v>356</v>
      </c>
      <c r="D10" s="142" t="s">
        <v>308</v>
      </c>
      <c r="E10" s="142" t="s">
        <v>309</v>
      </c>
      <c r="F10" s="142" t="s">
        <v>310</v>
      </c>
      <c r="G10" s="142" t="s">
        <v>311</v>
      </c>
      <c r="H10" s="143" t="s">
        <v>357</v>
      </c>
      <c r="I10" s="143" t="s">
        <v>358</v>
      </c>
      <c r="J10" s="201" t="s">
        <v>359</v>
      </c>
      <c r="K10" s="200" t="s">
        <v>354</v>
      </c>
      <c r="L10" s="233" t="s">
        <v>351</v>
      </c>
      <c r="M10" s="234"/>
      <c r="N10" s="200" t="s">
        <v>292</v>
      </c>
      <c r="O10" s="108" t="s">
        <v>349</v>
      </c>
      <c r="P10" s="142" t="s">
        <v>360</v>
      </c>
      <c r="Q10" s="142" t="s">
        <v>317</v>
      </c>
      <c r="R10" s="154"/>
      <c r="S10" s="214" t="s">
        <v>200</v>
      </c>
      <c r="T10" s="142" t="s">
        <v>361</v>
      </c>
      <c r="U10" s="167"/>
      <c r="V10" s="42"/>
      <c r="W10" s="43"/>
    </row>
    <row r="11" spans="1:23" s="44" customFormat="1" ht="178.5" customHeight="1" x14ac:dyDescent="0.65">
      <c r="A11" s="154"/>
      <c r="B11" s="154"/>
      <c r="C11" s="154"/>
      <c r="D11" s="143"/>
      <c r="E11" s="143"/>
      <c r="F11" s="143"/>
      <c r="G11" s="143"/>
      <c r="H11" s="143"/>
      <c r="I11" s="143"/>
      <c r="J11" s="201"/>
      <c r="K11" s="201"/>
      <c r="L11" s="235" t="s">
        <v>352</v>
      </c>
      <c r="M11" s="235" t="s">
        <v>353</v>
      </c>
      <c r="N11" s="201"/>
      <c r="O11" s="231" t="s">
        <v>289</v>
      </c>
      <c r="P11" s="143"/>
      <c r="Q11" s="143"/>
      <c r="R11" s="154"/>
      <c r="S11" s="216"/>
      <c r="T11" s="143"/>
      <c r="U11" s="167"/>
      <c r="V11" s="42"/>
      <c r="W11" s="43"/>
    </row>
    <row r="12" spans="1:23" s="23" customFormat="1" ht="334.5" customHeight="1" x14ac:dyDescent="0.65">
      <c r="A12" s="155"/>
      <c r="B12" s="155"/>
      <c r="C12" s="155"/>
      <c r="D12" s="144"/>
      <c r="E12" s="144"/>
      <c r="F12" s="144"/>
      <c r="G12" s="144"/>
      <c r="H12" s="144"/>
      <c r="I12" s="144"/>
      <c r="J12" s="202"/>
      <c r="K12" s="202"/>
      <c r="L12" s="232"/>
      <c r="M12" s="232"/>
      <c r="N12" s="202"/>
      <c r="O12" s="232"/>
      <c r="P12" s="144"/>
      <c r="Q12" s="144"/>
      <c r="R12" s="155"/>
      <c r="S12" s="218"/>
      <c r="T12" s="144"/>
      <c r="U12" s="168"/>
      <c r="V12" s="42"/>
    </row>
    <row r="13" spans="1:23" ht="55.5" customHeight="1" x14ac:dyDescent="0.8">
      <c r="A13" s="12" t="s">
        <v>12</v>
      </c>
      <c r="B13" s="13" t="s">
        <v>51</v>
      </c>
      <c r="C13" s="115"/>
      <c r="D13" s="29">
        <v>21416600</v>
      </c>
      <c r="E13" s="29">
        <v>33080490.460000001</v>
      </c>
      <c r="F13" s="29">
        <v>8991</v>
      </c>
      <c r="G13" s="29">
        <v>62691</v>
      </c>
      <c r="H13" s="29"/>
      <c r="I13" s="29"/>
      <c r="J13" s="29"/>
      <c r="K13" s="29">
        <v>451876</v>
      </c>
      <c r="L13" s="29"/>
      <c r="M13" s="29">
        <v>451876</v>
      </c>
      <c r="N13" s="29">
        <v>359155</v>
      </c>
      <c r="O13" s="29">
        <v>153055</v>
      </c>
      <c r="P13" s="29">
        <v>384491</v>
      </c>
      <c r="Q13" s="29">
        <v>531667</v>
      </c>
      <c r="R13" s="29">
        <v>59345175.460000001</v>
      </c>
      <c r="S13" s="29"/>
      <c r="T13" s="29"/>
      <c r="U13" s="29">
        <v>11023300</v>
      </c>
      <c r="V13" s="29"/>
    </row>
    <row r="14" spans="1:23" ht="55.5" customHeight="1" x14ac:dyDescent="0.8">
      <c r="A14" s="12" t="s">
        <v>13</v>
      </c>
      <c r="B14" s="13" t="s">
        <v>86</v>
      </c>
      <c r="C14" s="115"/>
      <c r="D14" s="69">
        <v>925433200</v>
      </c>
      <c r="E14" s="69">
        <v>1055149240.27</v>
      </c>
      <c r="F14" s="69">
        <v>847998.98</v>
      </c>
      <c r="G14" s="69">
        <v>10858148</v>
      </c>
      <c r="H14" s="69">
        <v>9766024.9199999999</v>
      </c>
      <c r="I14" s="69"/>
      <c r="J14" s="69">
        <v>1632123.17</v>
      </c>
      <c r="K14" s="29">
        <v>4066890</v>
      </c>
      <c r="L14" s="29"/>
      <c r="M14" s="29">
        <v>4066890</v>
      </c>
      <c r="N14" s="29">
        <v>2264527.0300000003</v>
      </c>
      <c r="O14" s="29">
        <v>1852327.0300000003</v>
      </c>
      <c r="P14" s="29">
        <v>16335603</v>
      </c>
      <c r="Q14" s="29">
        <v>30518894</v>
      </c>
      <c r="R14" s="29">
        <v>2244330066.2199998</v>
      </c>
      <c r="S14" s="69"/>
      <c r="T14" s="29"/>
      <c r="U14" s="29">
        <v>19732725</v>
      </c>
      <c r="V14" s="69"/>
    </row>
    <row r="15" spans="1:23" ht="51.75" customHeight="1" x14ac:dyDescent="0.8">
      <c r="A15" s="12" t="s">
        <v>14</v>
      </c>
      <c r="B15" s="13" t="s">
        <v>162</v>
      </c>
      <c r="C15" s="115"/>
      <c r="D15" s="69">
        <v>254205000</v>
      </c>
      <c r="E15" s="69">
        <v>449589775</v>
      </c>
      <c r="F15" s="69">
        <v>351953.12</v>
      </c>
      <c r="G15" s="69">
        <v>7595606</v>
      </c>
      <c r="H15" s="69">
        <v>1642255.01</v>
      </c>
      <c r="I15" s="69"/>
      <c r="J15" s="69"/>
      <c r="K15" s="29">
        <v>903753</v>
      </c>
      <c r="L15" s="29"/>
      <c r="M15" s="29">
        <v>903753</v>
      </c>
      <c r="N15" s="29">
        <v>1256311.58</v>
      </c>
      <c r="O15" s="29">
        <v>638236.57999999996</v>
      </c>
      <c r="P15" s="29">
        <v>4309955</v>
      </c>
      <c r="Q15" s="29">
        <v>7746335</v>
      </c>
      <c r="R15" s="29">
        <v>793266896.21000004</v>
      </c>
      <c r="S15" s="69">
        <v>0</v>
      </c>
      <c r="T15" s="29"/>
      <c r="U15" s="29">
        <v>229970</v>
      </c>
      <c r="V15" s="69"/>
    </row>
    <row r="16" spans="1:23" ht="59.25" customHeight="1" x14ac:dyDescent="0.8">
      <c r="A16" s="12" t="s">
        <v>15</v>
      </c>
      <c r="B16" s="13" t="s">
        <v>52</v>
      </c>
      <c r="C16" s="115"/>
      <c r="D16" s="69">
        <v>60160500</v>
      </c>
      <c r="E16" s="69">
        <v>141307854.15000001</v>
      </c>
      <c r="F16" s="69">
        <v>1213450.1000000001</v>
      </c>
      <c r="G16" s="69">
        <v>1964247</v>
      </c>
      <c r="H16" s="69">
        <v>1049452.02</v>
      </c>
      <c r="I16" s="69"/>
      <c r="J16" s="69"/>
      <c r="K16" s="29">
        <v>451876</v>
      </c>
      <c r="L16" s="29"/>
      <c r="M16" s="29">
        <v>451876</v>
      </c>
      <c r="N16" s="29">
        <v>518320</v>
      </c>
      <c r="O16" s="29">
        <v>312220</v>
      </c>
      <c r="P16" s="29">
        <v>709982</v>
      </c>
      <c r="Q16" s="29">
        <v>1458775</v>
      </c>
      <c r="R16" s="29">
        <v>218729735.27000001</v>
      </c>
      <c r="S16" s="69"/>
      <c r="T16" s="29"/>
      <c r="U16" s="29">
        <v>45800</v>
      </c>
      <c r="V16" s="69"/>
    </row>
    <row r="17" spans="1:22" ht="66.75" customHeight="1" x14ac:dyDescent="0.8">
      <c r="A17" s="12" t="s">
        <v>16</v>
      </c>
      <c r="B17" s="13" t="s">
        <v>53</v>
      </c>
      <c r="C17" s="115"/>
      <c r="D17" s="69">
        <v>690309300</v>
      </c>
      <c r="E17" s="69">
        <v>1181968593.3900001</v>
      </c>
      <c r="F17" s="69">
        <v>2268543.54</v>
      </c>
      <c r="G17" s="69">
        <v>8678939</v>
      </c>
      <c r="H17" s="69">
        <v>2658808.35</v>
      </c>
      <c r="I17" s="69"/>
      <c r="J17" s="69">
        <v>1408926.87</v>
      </c>
      <c r="K17" s="29">
        <v>4518766</v>
      </c>
      <c r="L17" s="29"/>
      <c r="M17" s="29">
        <v>4518766</v>
      </c>
      <c r="N17" s="29">
        <v>10853817.630000001</v>
      </c>
      <c r="O17" s="29">
        <v>10647717.630000001</v>
      </c>
      <c r="P17" s="29">
        <v>12389853</v>
      </c>
      <c r="Q17" s="29">
        <v>16416060</v>
      </c>
      <c r="R17" s="29">
        <v>2013697283.4200001</v>
      </c>
      <c r="S17" s="69"/>
      <c r="T17" s="29"/>
      <c r="U17" s="29">
        <v>5073086</v>
      </c>
      <c r="V17" s="69"/>
    </row>
    <row r="18" spans="1:22" ht="59.25" customHeight="1" x14ac:dyDescent="0.8">
      <c r="A18" s="12" t="s">
        <v>17</v>
      </c>
      <c r="B18" s="13" t="s">
        <v>54</v>
      </c>
      <c r="C18" s="115"/>
      <c r="D18" s="69">
        <v>59080200</v>
      </c>
      <c r="E18" s="69">
        <v>97687068.879999995</v>
      </c>
      <c r="F18" s="69">
        <v>210118.51</v>
      </c>
      <c r="G18" s="69">
        <v>5671393</v>
      </c>
      <c r="H18" s="69"/>
      <c r="I18" s="69"/>
      <c r="J18" s="69"/>
      <c r="K18" s="29">
        <v>564846</v>
      </c>
      <c r="L18" s="29"/>
      <c r="M18" s="29">
        <v>564846</v>
      </c>
      <c r="N18" s="29">
        <v>453614</v>
      </c>
      <c r="O18" s="29">
        <v>247514</v>
      </c>
      <c r="P18" s="29">
        <v>872880</v>
      </c>
      <c r="Q18" s="29">
        <v>1654389</v>
      </c>
      <c r="R18" s="29">
        <v>177933980.38999999</v>
      </c>
      <c r="S18" s="69">
        <v>4000000</v>
      </c>
      <c r="T18" s="29">
        <v>2000000</v>
      </c>
      <c r="U18" s="29">
        <v>6208000</v>
      </c>
      <c r="V18" s="69"/>
    </row>
    <row r="19" spans="1:22" ht="59.25" customHeight="1" x14ac:dyDescent="0.8">
      <c r="A19" s="12" t="s">
        <v>18</v>
      </c>
      <c r="B19" s="13" t="s">
        <v>55</v>
      </c>
      <c r="C19" s="115"/>
      <c r="D19" s="69">
        <v>145855800</v>
      </c>
      <c r="E19" s="69">
        <v>226253194.77000001</v>
      </c>
      <c r="F19" s="69">
        <v>109625.45</v>
      </c>
      <c r="G19" s="69">
        <v>3423705</v>
      </c>
      <c r="H19" s="69"/>
      <c r="I19" s="69"/>
      <c r="J19" s="69"/>
      <c r="K19" s="29">
        <v>790784</v>
      </c>
      <c r="L19" s="29"/>
      <c r="M19" s="29">
        <v>790784</v>
      </c>
      <c r="N19" s="29">
        <v>1051257</v>
      </c>
      <c r="O19" s="29">
        <v>845157</v>
      </c>
      <c r="P19" s="29">
        <v>2273785</v>
      </c>
      <c r="Q19" s="29">
        <v>3229470</v>
      </c>
      <c r="R19" s="29">
        <v>393528642.17999995</v>
      </c>
      <c r="S19" s="69">
        <v>17500000</v>
      </c>
      <c r="T19" s="29"/>
      <c r="U19" s="29">
        <v>20112600</v>
      </c>
      <c r="V19" s="69"/>
    </row>
    <row r="20" spans="1:22" ht="55.5" customHeight="1" x14ac:dyDescent="0.8">
      <c r="A20" s="12" t="s">
        <v>19</v>
      </c>
      <c r="B20" s="13" t="s">
        <v>56</v>
      </c>
      <c r="C20" s="115"/>
      <c r="D20" s="69">
        <v>85918700</v>
      </c>
      <c r="E20" s="69">
        <v>140537356.86000001</v>
      </c>
      <c r="F20" s="69">
        <v>181039.38</v>
      </c>
      <c r="G20" s="69">
        <v>1473106</v>
      </c>
      <c r="H20" s="69"/>
      <c r="I20" s="69"/>
      <c r="J20" s="69">
        <v>539635</v>
      </c>
      <c r="K20" s="29">
        <v>451876</v>
      </c>
      <c r="L20" s="29"/>
      <c r="M20" s="29">
        <v>451876</v>
      </c>
      <c r="N20" s="29">
        <v>724052</v>
      </c>
      <c r="O20" s="29">
        <v>517952</v>
      </c>
      <c r="P20" s="29">
        <v>1511408</v>
      </c>
      <c r="Q20" s="29">
        <v>1985919</v>
      </c>
      <c r="R20" s="29">
        <v>241177900.24000001</v>
      </c>
      <c r="S20" s="69"/>
      <c r="T20" s="29"/>
      <c r="U20" s="29">
        <v>70700</v>
      </c>
      <c r="V20" s="69"/>
    </row>
    <row r="21" spans="1:22" ht="59.25" customHeight="1" x14ac:dyDescent="0.8">
      <c r="A21" s="12" t="s">
        <v>20</v>
      </c>
      <c r="B21" s="13" t="s">
        <v>83</v>
      </c>
      <c r="C21" s="115"/>
      <c r="D21" s="69">
        <v>51500400</v>
      </c>
      <c r="E21" s="69">
        <v>84959677.150000006</v>
      </c>
      <c r="F21" s="69">
        <v>300048.5</v>
      </c>
      <c r="G21" s="69">
        <v>1059147</v>
      </c>
      <c r="H21" s="69"/>
      <c r="I21" s="69"/>
      <c r="J21" s="69"/>
      <c r="K21" s="29">
        <v>112969</v>
      </c>
      <c r="L21" s="29"/>
      <c r="M21" s="29">
        <v>112969</v>
      </c>
      <c r="N21" s="29">
        <v>868740</v>
      </c>
      <c r="O21" s="29">
        <v>662640</v>
      </c>
      <c r="P21" s="29">
        <v>685172</v>
      </c>
      <c r="Q21" s="29">
        <v>1636440</v>
      </c>
      <c r="R21" s="29">
        <v>149180784.65000001</v>
      </c>
      <c r="S21" s="69">
        <v>4600000</v>
      </c>
      <c r="T21" s="29"/>
      <c r="U21" s="29">
        <v>4641400</v>
      </c>
      <c r="V21" s="69"/>
    </row>
    <row r="22" spans="1:22" ht="66.75" customHeight="1" x14ac:dyDescent="0.8">
      <c r="A22" s="12" t="s">
        <v>21</v>
      </c>
      <c r="B22" s="13" t="s">
        <v>57</v>
      </c>
      <c r="C22" s="115"/>
      <c r="D22" s="69">
        <v>118362100</v>
      </c>
      <c r="E22" s="69">
        <v>187811398.06999999</v>
      </c>
      <c r="F22" s="69">
        <v>810990.23</v>
      </c>
      <c r="G22" s="69">
        <v>2750950</v>
      </c>
      <c r="H22" s="69">
        <v>796438</v>
      </c>
      <c r="I22" s="69"/>
      <c r="J22" s="69"/>
      <c r="K22" s="29">
        <v>1581567</v>
      </c>
      <c r="L22" s="29"/>
      <c r="M22" s="29">
        <v>1581567</v>
      </c>
      <c r="N22" s="29">
        <v>608093</v>
      </c>
      <c r="O22" s="29">
        <v>401993</v>
      </c>
      <c r="P22" s="29">
        <v>2054618</v>
      </c>
      <c r="Q22" s="29">
        <v>3420439</v>
      </c>
      <c r="R22" s="29">
        <v>338257458.30000001</v>
      </c>
      <c r="S22" s="69"/>
      <c r="T22" s="29"/>
      <c r="U22" s="29">
        <v>206700</v>
      </c>
      <c r="V22" s="69"/>
    </row>
    <row r="23" spans="1:22" ht="59.25" customHeight="1" x14ac:dyDescent="0.8">
      <c r="A23" s="12" t="s">
        <v>22</v>
      </c>
      <c r="B23" s="13" t="s">
        <v>58</v>
      </c>
      <c r="C23" s="115"/>
      <c r="D23" s="69">
        <v>24846000</v>
      </c>
      <c r="E23" s="69">
        <v>19250299.68</v>
      </c>
      <c r="F23" s="69">
        <v>0</v>
      </c>
      <c r="G23" s="69">
        <v>1739667</v>
      </c>
      <c r="H23" s="69"/>
      <c r="I23" s="69"/>
      <c r="J23" s="69"/>
      <c r="K23" s="29">
        <v>338907</v>
      </c>
      <c r="L23" s="29"/>
      <c r="M23" s="29">
        <v>338907</v>
      </c>
      <c r="N23" s="29">
        <v>405265</v>
      </c>
      <c r="O23" s="29">
        <v>199165</v>
      </c>
      <c r="P23" s="29">
        <v>575627</v>
      </c>
      <c r="Q23" s="29">
        <v>796981</v>
      </c>
      <c r="R23" s="29">
        <v>54865379.170000002</v>
      </c>
      <c r="S23" s="69"/>
      <c r="T23" s="29"/>
      <c r="U23" s="29">
        <v>28500</v>
      </c>
      <c r="V23" s="69"/>
    </row>
    <row r="24" spans="1:22" ht="55.5" customHeight="1" x14ac:dyDescent="0.8">
      <c r="A24" s="12" t="s">
        <v>23</v>
      </c>
      <c r="B24" s="13" t="s">
        <v>59</v>
      </c>
      <c r="C24" s="115"/>
      <c r="D24" s="69">
        <v>40719600</v>
      </c>
      <c r="E24" s="69">
        <v>79726033.459999993</v>
      </c>
      <c r="F24" s="69">
        <v>419674.5</v>
      </c>
      <c r="G24" s="69">
        <v>1522551</v>
      </c>
      <c r="H24" s="69">
        <v>784883.96</v>
      </c>
      <c r="I24" s="69"/>
      <c r="J24" s="69"/>
      <c r="K24" s="29">
        <v>338907</v>
      </c>
      <c r="L24" s="29"/>
      <c r="M24" s="29">
        <v>338907</v>
      </c>
      <c r="N24" s="29">
        <v>537014.34000000008</v>
      </c>
      <c r="O24" s="29">
        <v>330914.34000000003</v>
      </c>
      <c r="P24" s="29">
        <v>628822</v>
      </c>
      <c r="Q24" s="29">
        <v>822357</v>
      </c>
      <c r="R24" s="29">
        <v>133062034.25999999</v>
      </c>
      <c r="S24" s="69"/>
      <c r="T24" s="29">
        <v>3000000</v>
      </c>
      <c r="U24" s="29">
        <v>3030800</v>
      </c>
      <c r="V24" s="69"/>
    </row>
    <row r="25" spans="1:22" ht="55.5" customHeight="1" x14ac:dyDescent="0.8">
      <c r="A25" s="12" t="s">
        <v>24</v>
      </c>
      <c r="B25" s="13" t="s">
        <v>60</v>
      </c>
      <c r="C25" s="115"/>
      <c r="D25" s="69">
        <v>24934100</v>
      </c>
      <c r="E25" s="69">
        <v>18412327.600000001</v>
      </c>
      <c r="F25" s="69">
        <v>217837.91</v>
      </c>
      <c r="G25" s="69">
        <v>1592964</v>
      </c>
      <c r="H25" s="69"/>
      <c r="I25" s="69"/>
      <c r="J25" s="69"/>
      <c r="K25" s="29">
        <v>0</v>
      </c>
      <c r="L25" s="29"/>
      <c r="M25" s="29"/>
      <c r="N25" s="29">
        <v>272115.14</v>
      </c>
      <c r="O25" s="29">
        <v>66015.14</v>
      </c>
      <c r="P25" s="29">
        <v>543957</v>
      </c>
      <c r="Q25" s="29">
        <v>1160350</v>
      </c>
      <c r="R25" s="29">
        <v>50895431.649999999</v>
      </c>
      <c r="S25" s="69"/>
      <c r="T25" s="29">
        <v>3000000</v>
      </c>
      <c r="U25" s="29">
        <v>3028500</v>
      </c>
      <c r="V25" s="69"/>
    </row>
    <row r="26" spans="1:22" ht="59.25" customHeight="1" x14ac:dyDescent="0.8">
      <c r="A26" s="12"/>
      <c r="B26" s="13" t="s">
        <v>50</v>
      </c>
      <c r="C26" s="115">
        <v>0</v>
      </c>
      <c r="D26" s="28">
        <v>2502741500</v>
      </c>
      <c r="E26" s="28">
        <v>3715733309.7400007</v>
      </c>
      <c r="F26" s="28">
        <v>6940271.2200000007</v>
      </c>
      <c r="G26" s="28">
        <v>48393114</v>
      </c>
      <c r="H26" s="28">
        <v>16697862.259999998</v>
      </c>
      <c r="I26" s="28">
        <v>0</v>
      </c>
      <c r="J26" s="28">
        <v>3580685.04</v>
      </c>
      <c r="K26" s="30">
        <v>14573017</v>
      </c>
      <c r="L26" s="30">
        <v>0</v>
      </c>
      <c r="M26" s="30">
        <v>14573017</v>
      </c>
      <c r="N26" s="30">
        <v>20172281.720000003</v>
      </c>
      <c r="O26" s="30">
        <v>16874906.720000003</v>
      </c>
      <c r="P26" s="29">
        <v>43276153</v>
      </c>
      <c r="Q26" s="29">
        <v>71378076</v>
      </c>
      <c r="R26" s="29">
        <v>6868270767.420002</v>
      </c>
      <c r="S26" s="28">
        <v>26100000</v>
      </c>
      <c r="T26" s="28">
        <v>8000000</v>
      </c>
      <c r="U26" s="29">
        <v>73432081</v>
      </c>
      <c r="V26" s="28">
        <f>V13+V14+V15+V16+V17+V18+V19+V20+V21+V22+V23+V24+V25</f>
        <v>0</v>
      </c>
    </row>
    <row r="27" spans="1:22" ht="63" customHeight="1" x14ac:dyDescent="0.8">
      <c r="A27" s="12" t="s">
        <v>25</v>
      </c>
      <c r="B27" s="13" t="s">
        <v>49</v>
      </c>
      <c r="C27" s="115"/>
      <c r="D27" s="69">
        <v>77562600</v>
      </c>
      <c r="E27" s="69">
        <v>121966639.73</v>
      </c>
      <c r="F27" s="69">
        <v>2399143.27</v>
      </c>
      <c r="G27" s="69">
        <v>5759069</v>
      </c>
      <c r="H27" s="69">
        <v>1057841.01</v>
      </c>
      <c r="I27" s="69"/>
      <c r="J27" s="69"/>
      <c r="K27" s="29">
        <v>0</v>
      </c>
      <c r="L27" s="29"/>
      <c r="M27" s="29"/>
      <c r="N27" s="29">
        <v>0</v>
      </c>
      <c r="O27" s="29"/>
      <c r="P27" s="29">
        <v>0</v>
      </c>
      <c r="Q27" s="29"/>
      <c r="R27" s="29">
        <v>210286293.01000002</v>
      </c>
      <c r="S27" s="69"/>
      <c r="T27" s="29"/>
      <c r="U27" s="29">
        <v>0</v>
      </c>
      <c r="V27" s="69"/>
    </row>
    <row r="28" spans="1:22" ht="66.75" customHeight="1" x14ac:dyDescent="0.8">
      <c r="A28" s="12" t="s">
        <v>26</v>
      </c>
      <c r="B28" s="13" t="s">
        <v>61</v>
      </c>
      <c r="C28" s="115"/>
      <c r="D28" s="69">
        <v>57542400</v>
      </c>
      <c r="E28" s="69">
        <v>69360649.010000005</v>
      </c>
      <c r="F28" s="69">
        <v>2284015.9700000002</v>
      </c>
      <c r="G28" s="69">
        <v>2164144</v>
      </c>
      <c r="H28" s="69"/>
      <c r="I28" s="69"/>
      <c r="J28" s="69"/>
      <c r="K28" s="29">
        <v>564846</v>
      </c>
      <c r="L28" s="29"/>
      <c r="M28" s="29">
        <v>564846</v>
      </c>
      <c r="N28" s="29">
        <v>281088.24</v>
      </c>
      <c r="O28" s="29">
        <v>74988.239999999991</v>
      </c>
      <c r="P28" s="29">
        <v>485534</v>
      </c>
      <c r="Q28" s="29">
        <v>882696</v>
      </c>
      <c r="R28" s="29">
        <v>143371985.22000003</v>
      </c>
      <c r="S28" s="69"/>
      <c r="T28" s="29"/>
      <c r="U28" s="29">
        <v>11700</v>
      </c>
      <c r="V28" s="69"/>
    </row>
    <row r="29" spans="1:22" ht="63" customHeight="1" x14ac:dyDescent="0.8">
      <c r="A29" s="12" t="s">
        <v>27</v>
      </c>
      <c r="B29" s="13" t="s">
        <v>62</v>
      </c>
      <c r="C29" s="115"/>
      <c r="D29" s="69">
        <v>88994900</v>
      </c>
      <c r="E29" s="69">
        <v>113150622.09999999</v>
      </c>
      <c r="F29" s="69">
        <v>3199128.56</v>
      </c>
      <c r="G29" s="69">
        <v>8364322</v>
      </c>
      <c r="H29" s="69"/>
      <c r="I29" s="69"/>
      <c r="J29" s="69"/>
      <c r="K29" s="29">
        <v>677815</v>
      </c>
      <c r="L29" s="29"/>
      <c r="M29" s="29">
        <v>677815</v>
      </c>
      <c r="N29" s="29">
        <v>206100</v>
      </c>
      <c r="O29" s="29"/>
      <c r="P29" s="29">
        <v>1130205</v>
      </c>
      <c r="Q29" s="29">
        <v>953950</v>
      </c>
      <c r="R29" s="29">
        <v>239181918.66</v>
      </c>
      <c r="S29" s="69"/>
      <c r="T29" s="29"/>
      <c r="U29" s="29">
        <v>37000</v>
      </c>
      <c r="V29" s="69"/>
    </row>
    <row r="30" spans="1:22" ht="63" customHeight="1" x14ac:dyDescent="0.8">
      <c r="A30" s="12" t="s">
        <v>28</v>
      </c>
      <c r="B30" s="13" t="s">
        <v>84</v>
      </c>
      <c r="C30" s="115"/>
      <c r="D30" s="69">
        <v>92455400</v>
      </c>
      <c r="E30" s="69">
        <v>103149091.52</v>
      </c>
      <c r="F30" s="69">
        <v>1644357.92</v>
      </c>
      <c r="G30" s="69">
        <v>1405751</v>
      </c>
      <c r="H30" s="69">
        <v>1990457.93</v>
      </c>
      <c r="I30" s="69">
        <v>972121.86</v>
      </c>
      <c r="J30" s="69">
        <v>784883.96</v>
      </c>
      <c r="K30" s="29">
        <v>338907</v>
      </c>
      <c r="L30" s="29"/>
      <c r="M30" s="29">
        <v>338907</v>
      </c>
      <c r="N30" s="29">
        <v>7365.8600000000006</v>
      </c>
      <c r="O30" s="29">
        <v>7365.8600000000006</v>
      </c>
      <c r="P30" s="29">
        <v>1464675</v>
      </c>
      <c r="Q30" s="29">
        <v>1361001</v>
      </c>
      <c r="R30" s="29">
        <v>227417964.05000001</v>
      </c>
      <c r="S30" s="69"/>
      <c r="T30" s="29"/>
      <c r="U30" s="29">
        <v>48700</v>
      </c>
      <c r="V30" s="69"/>
    </row>
    <row r="31" spans="1:22" ht="59.25" customHeight="1" x14ac:dyDescent="0.8">
      <c r="A31" s="12" t="s">
        <v>29</v>
      </c>
      <c r="B31" s="13" t="s">
        <v>63</v>
      </c>
      <c r="C31" s="115"/>
      <c r="D31" s="69">
        <v>52517200</v>
      </c>
      <c r="E31" s="69">
        <v>68405677.480000004</v>
      </c>
      <c r="F31" s="69">
        <v>2293554.12</v>
      </c>
      <c r="G31" s="69">
        <v>1356124</v>
      </c>
      <c r="H31" s="69">
        <v>637150.01</v>
      </c>
      <c r="I31" s="69"/>
      <c r="J31" s="69"/>
      <c r="K31" s="29">
        <v>0</v>
      </c>
      <c r="L31" s="29"/>
      <c r="M31" s="29"/>
      <c r="N31" s="29">
        <v>206100</v>
      </c>
      <c r="O31" s="29"/>
      <c r="P31" s="29">
        <v>1387449</v>
      </c>
      <c r="Q31" s="29">
        <v>980041</v>
      </c>
      <c r="R31" s="29">
        <v>142314580.61000001</v>
      </c>
      <c r="S31" s="70"/>
      <c r="T31" s="39"/>
      <c r="U31" s="29">
        <v>45200</v>
      </c>
      <c r="V31" s="70"/>
    </row>
    <row r="32" spans="1:22" ht="63" customHeight="1" x14ac:dyDescent="0.8">
      <c r="A32" s="12" t="s">
        <v>30</v>
      </c>
      <c r="B32" s="13" t="s">
        <v>64</v>
      </c>
      <c r="C32" s="115"/>
      <c r="D32" s="69">
        <v>56124100</v>
      </c>
      <c r="E32" s="69">
        <v>87914916.980000004</v>
      </c>
      <c r="F32" s="69">
        <v>2551165.41</v>
      </c>
      <c r="G32" s="69">
        <v>2828029</v>
      </c>
      <c r="H32" s="69">
        <v>2246421.92</v>
      </c>
      <c r="I32" s="69"/>
      <c r="J32" s="69"/>
      <c r="K32" s="29">
        <v>225938</v>
      </c>
      <c r="L32" s="29"/>
      <c r="M32" s="29">
        <v>225938</v>
      </c>
      <c r="N32" s="29">
        <v>32322</v>
      </c>
      <c r="O32" s="29">
        <v>32322</v>
      </c>
      <c r="P32" s="29">
        <v>852538</v>
      </c>
      <c r="Q32" s="29">
        <v>313588</v>
      </c>
      <c r="R32" s="29">
        <v>164809602.31</v>
      </c>
      <c r="S32" s="70"/>
      <c r="T32" s="39"/>
      <c r="U32" s="29">
        <v>15362</v>
      </c>
      <c r="V32" s="70"/>
    </row>
    <row r="33" spans="1:22" ht="66.75" customHeight="1" x14ac:dyDescent="0.8">
      <c r="A33" s="12" t="s">
        <v>31</v>
      </c>
      <c r="B33" s="13" t="s">
        <v>65</v>
      </c>
      <c r="C33" s="115"/>
      <c r="D33" s="69">
        <v>51566500</v>
      </c>
      <c r="E33" s="69">
        <v>74713800.870000005</v>
      </c>
      <c r="F33" s="69">
        <v>1296722.73</v>
      </c>
      <c r="G33" s="69">
        <v>1745937</v>
      </c>
      <c r="H33" s="69"/>
      <c r="I33" s="69"/>
      <c r="J33" s="69"/>
      <c r="K33" s="29">
        <v>0</v>
      </c>
      <c r="L33" s="29"/>
      <c r="M33" s="29"/>
      <c r="N33" s="29">
        <v>206100</v>
      </c>
      <c r="O33" s="29"/>
      <c r="P33" s="29">
        <v>1471050</v>
      </c>
      <c r="Q33" s="29">
        <v>713009</v>
      </c>
      <c r="R33" s="29">
        <v>151894046.59999999</v>
      </c>
      <c r="S33" s="70">
        <v>3450000</v>
      </c>
      <c r="T33" s="39"/>
      <c r="U33" s="29">
        <v>4330800</v>
      </c>
      <c r="V33" s="70"/>
    </row>
    <row r="34" spans="1:22" ht="63" customHeight="1" x14ac:dyDescent="0.8">
      <c r="A34" s="12" t="s">
        <v>32</v>
      </c>
      <c r="B34" s="13" t="s">
        <v>66</v>
      </c>
      <c r="C34" s="115"/>
      <c r="D34" s="69">
        <v>33460200</v>
      </c>
      <c r="E34" s="69">
        <v>45657753.969999999</v>
      </c>
      <c r="F34" s="69">
        <v>4203724.0199999996</v>
      </c>
      <c r="G34" s="69">
        <v>682852</v>
      </c>
      <c r="H34" s="69">
        <v>528921</v>
      </c>
      <c r="I34" s="69">
        <v>1501042.13</v>
      </c>
      <c r="J34" s="69"/>
      <c r="K34" s="29">
        <v>0</v>
      </c>
      <c r="L34" s="29"/>
      <c r="M34" s="29"/>
      <c r="N34" s="29">
        <v>0</v>
      </c>
      <c r="O34" s="29">
        <v>0</v>
      </c>
      <c r="P34" s="29">
        <v>211067</v>
      </c>
      <c r="Q34" s="29">
        <v>34323</v>
      </c>
      <c r="R34" s="29">
        <v>89802296.11999999</v>
      </c>
      <c r="S34" s="70"/>
      <c r="T34" s="39"/>
      <c r="U34" s="29">
        <v>3300</v>
      </c>
      <c r="V34" s="70"/>
    </row>
    <row r="35" spans="1:22" ht="63" customHeight="1" x14ac:dyDescent="0.8">
      <c r="A35" s="12" t="s">
        <v>33</v>
      </c>
      <c r="B35" s="13" t="s">
        <v>67</v>
      </c>
      <c r="C35" s="115"/>
      <c r="D35" s="69">
        <v>53831700</v>
      </c>
      <c r="E35" s="69">
        <v>89692959.680000007</v>
      </c>
      <c r="F35" s="69">
        <v>975523.24</v>
      </c>
      <c r="G35" s="69">
        <v>1919524</v>
      </c>
      <c r="H35" s="69"/>
      <c r="I35" s="69"/>
      <c r="J35" s="69"/>
      <c r="K35" s="29">
        <v>225938</v>
      </c>
      <c r="L35" s="29"/>
      <c r="M35" s="29">
        <v>225938</v>
      </c>
      <c r="N35" s="29">
        <v>222900.59</v>
      </c>
      <c r="O35" s="29">
        <v>16800.589999999997</v>
      </c>
      <c r="P35" s="29">
        <v>655635</v>
      </c>
      <c r="Q35" s="29">
        <v>1078164</v>
      </c>
      <c r="R35" s="29">
        <v>169382078.51000002</v>
      </c>
      <c r="S35" s="70"/>
      <c r="T35" s="39"/>
      <c r="U35" s="29">
        <v>16300</v>
      </c>
      <c r="V35" s="70"/>
    </row>
    <row r="36" spans="1:22" ht="63" customHeight="1" x14ac:dyDescent="0.8">
      <c r="A36" s="12" t="s">
        <v>34</v>
      </c>
      <c r="B36" s="13" t="s">
        <v>68</v>
      </c>
      <c r="C36" s="115"/>
      <c r="D36" s="69">
        <v>80409900</v>
      </c>
      <c r="E36" s="69">
        <v>131889723.59999999</v>
      </c>
      <c r="F36" s="69">
        <v>1472769.02</v>
      </c>
      <c r="G36" s="69">
        <v>2404872</v>
      </c>
      <c r="H36" s="69"/>
      <c r="I36" s="69"/>
      <c r="J36" s="69"/>
      <c r="K36" s="29">
        <v>564846</v>
      </c>
      <c r="L36" s="29"/>
      <c r="M36" s="29">
        <v>564846</v>
      </c>
      <c r="N36" s="29">
        <v>278544</v>
      </c>
      <c r="O36" s="29">
        <v>72444</v>
      </c>
      <c r="P36" s="29">
        <v>2633932</v>
      </c>
      <c r="Q36" s="29">
        <v>2226748</v>
      </c>
      <c r="R36" s="29">
        <v>245541403.31</v>
      </c>
      <c r="S36" s="70">
        <v>104000</v>
      </c>
      <c r="T36" s="39"/>
      <c r="U36" s="29">
        <v>10220351</v>
      </c>
      <c r="V36" s="70"/>
    </row>
    <row r="37" spans="1:22" ht="66.75" customHeight="1" x14ac:dyDescent="0.8">
      <c r="A37" s="12" t="s">
        <v>35</v>
      </c>
      <c r="B37" s="13" t="s">
        <v>69</v>
      </c>
      <c r="C37" s="115"/>
      <c r="D37" s="69">
        <v>32598400</v>
      </c>
      <c r="E37" s="69">
        <v>45053051.329999998</v>
      </c>
      <c r="F37" s="69">
        <v>2291128.9500000002</v>
      </c>
      <c r="G37" s="69">
        <v>680962</v>
      </c>
      <c r="H37" s="69">
        <v>824388</v>
      </c>
      <c r="I37" s="69"/>
      <c r="J37" s="69"/>
      <c r="K37" s="29">
        <v>0</v>
      </c>
      <c r="L37" s="29"/>
      <c r="M37" s="29"/>
      <c r="N37" s="29">
        <v>0</v>
      </c>
      <c r="O37" s="29">
        <v>0</v>
      </c>
      <c r="P37" s="29">
        <v>91744</v>
      </c>
      <c r="Q37" s="29">
        <v>184768</v>
      </c>
      <c r="R37" s="29">
        <v>87385252.280000001</v>
      </c>
      <c r="S37" s="70"/>
      <c r="T37" s="39"/>
      <c r="U37" s="29">
        <v>2200</v>
      </c>
      <c r="V37" s="70"/>
    </row>
    <row r="38" spans="1:22" ht="63" customHeight="1" x14ac:dyDescent="0.8">
      <c r="A38" s="12" t="s">
        <v>36</v>
      </c>
      <c r="B38" s="13" t="s">
        <v>70</v>
      </c>
      <c r="C38" s="115"/>
      <c r="D38" s="69">
        <v>29143000</v>
      </c>
      <c r="E38" s="69">
        <v>47418284.670000002</v>
      </c>
      <c r="F38" s="69">
        <v>1498116.66</v>
      </c>
      <c r="G38" s="69">
        <v>1643242</v>
      </c>
      <c r="H38" s="69"/>
      <c r="I38" s="69"/>
      <c r="J38" s="69"/>
      <c r="K38" s="29">
        <v>451876</v>
      </c>
      <c r="L38" s="29"/>
      <c r="M38" s="29">
        <v>451876</v>
      </c>
      <c r="N38" s="29">
        <v>267322</v>
      </c>
      <c r="O38" s="29">
        <v>61222</v>
      </c>
      <c r="P38" s="29">
        <v>467768</v>
      </c>
      <c r="Q38" s="29">
        <v>768636</v>
      </c>
      <c r="R38" s="29">
        <v>92643341.329999998</v>
      </c>
      <c r="S38" s="70"/>
      <c r="T38" s="39"/>
      <c r="U38" s="29">
        <v>15800</v>
      </c>
      <c r="V38" s="70"/>
    </row>
    <row r="39" spans="1:22" ht="66.75" customHeight="1" x14ac:dyDescent="0.8">
      <c r="A39" s="12" t="s">
        <v>37</v>
      </c>
      <c r="B39" s="13" t="s">
        <v>71</v>
      </c>
      <c r="C39" s="115"/>
      <c r="D39" s="69">
        <v>31815300</v>
      </c>
      <c r="E39" s="69">
        <v>33983537.969999999</v>
      </c>
      <c r="F39" s="69">
        <v>3577129.65</v>
      </c>
      <c r="G39" s="69">
        <v>2497218</v>
      </c>
      <c r="H39" s="69"/>
      <c r="I39" s="69">
        <v>528020.01</v>
      </c>
      <c r="J39" s="69"/>
      <c r="K39" s="29">
        <v>225938</v>
      </c>
      <c r="L39" s="29"/>
      <c r="M39" s="29">
        <v>225938</v>
      </c>
      <c r="N39" s="29">
        <v>82444</v>
      </c>
      <c r="O39" s="29">
        <v>82444</v>
      </c>
      <c r="P39" s="29">
        <v>520896</v>
      </c>
      <c r="Q39" s="29">
        <v>507437</v>
      </c>
      <c r="R39" s="29">
        <v>82737961.13000001</v>
      </c>
      <c r="S39" s="70"/>
      <c r="T39" s="39"/>
      <c r="U39" s="29">
        <v>25900</v>
      </c>
      <c r="V39" s="70"/>
    </row>
    <row r="40" spans="1:22" ht="63" customHeight="1" x14ac:dyDescent="0.8">
      <c r="A40" s="12" t="s">
        <v>38</v>
      </c>
      <c r="B40" s="13" t="s">
        <v>72</v>
      </c>
      <c r="C40" s="115"/>
      <c r="D40" s="69">
        <v>41091400</v>
      </c>
      <c r="E40" s="69">
        <v>92139990.319999993</v>
      </c>
      <c r="F40" s="69">
        <v>865550.77</v>
      </c>
      <c r="G40" s="69">
        <v>2255279</v>
      </c>
      <c r="H40" s="69">
        <v>932617.91</v>
      </c>
      <c r="I40" s="69"/>
      <c r="J40" s="69"/>
      <c r="K40" s="29">
        <v>112969</v>
      </c>
      <c r="L40" s="29"/>
      <c r="M40" s="29">
        <v>112969</v>
      </c>
      <c r="N40" s="29">
        <v>22761</v>
      </c>
      <c r="O40" s="29">
        <v>22761</v>
      </c>
      <c r="P40" s="29">
        <v>274832</v>
      </c>
      <c r="Q40" s="29">
        <v>991779</v>
      </c>
      <c r="R40" s="29">
        <v>144097140</v>
      </c>
      <c r="S40" s="70"/>
      <c r="T40" s="39"/>
      <c r="U40" s="29">
        <v>9500</v>
      </c>
      <c r="V40" s="70"/>
    </row>
    <row r="41" spans="1:22" ht="63" customHeight="1" x14ac:dyDescent="0.8">
      <c r="A41" s="12" t="s">
        <v>39</v>
      </c>
      <c r="B41" s="13" t="s">
        <v>73</v>
      </c>
      <c r="C41" s="115"/>
      <c r="D41" s="69">
        <v>77801500</v>
      </c>
      <c r="E41" s="69">
        <v>84336154.269999996</v>
      </c>
      <c r="F41" s="69">
        <v>3069517.91</v>
      </c>
      <c r="G41" s="69">
        <v>7316237</v>
      </c>
      <c r="H41" s="69"/>
      <c r="I41" s="69"/>
      <c r="J41" s="69"/>
      <c r="K41" s="29">
        <v>338907</v>
      </c>
      <c r="L41" s="29"/>
      <c r="M41" s="29">
        <v>338907</v>
      </c>
      <c r="N41" s="29">
        <v>259615.6</v>
      </c>
      <c r="O41" s="29">
        <v>53515.6</v>
      </c>
      <c r="P41" s="29">
        <v>1339291</v>
      </c>
      <c r="Q41" s="29">
        <v>903738</v>
      </c>
      <c r="R41" s="29">
        <v>188616751.77999997</v>
      </c>
      <c r="S41" s="70"/>
      <c r="T41" s="39"/>
      <c r="U41" s="29">
        <v>470058</v>
      </c>
      <c r="V41" s="70"/>
    </row>
    <row r="42" spans="1:22" ht="66.75" customHeight="1" x14ac:dyDescent="0.8">
      <c r="A42" s="12" t="s">
        <v>40</v>
      </c>
      <c r="B42" s="13" t="s">
        <v>74</v>
      </c>
      <c r="C42" s="115"/>
      <c r="D42" s="69">
        <v>52730600</v>
      </c>
      <c r="E42" s="69">
        <v>71181988.180000007</v>
      </c>
      <c r="F42" s="69">
        <v>1286222.06</v>
      </c>
      <c r="G42" s="69">
        <v>1726428</v>
      </c>
      <c r="H42" s="69">
        <v>676653.96</v>
      </c>
      <c r="I42" s="69"/>
      <c r="J42" s="69"/>
      <c r="K42" s="29">
        <v>0</v>
      </c>
      <c r="L42" s="29"/>
      <c r="M42" s="29"/>
      <c r="N42" s="29">
        <v>0</v>
      </c>
      <c r="O42" s="29">
        <v>0</v>
      </c>
      <c r="P42" s="29">
        <v>112210</v>
      </c>
      <c r="Q42" s="29">
        <v>875042</v>
      </c>
      <c r="R42" s="29">
        <v>144610128.20000002</v>
      </c>
      <c r="S42" s="70"/>
      <c r="T42" s="39"/>
      <c r="U42" s="29">
        <v>800</v>
      </c>
      <c r="V42" s="70"/>
    </row>
    <row r="43" spans="1:22" ht="63" customHeight="1" x14ac:dyDescent="0.8">
      <c r="A43" s="12" t="s">
        <v>41</v>
      </c>
      <c r="B43" s="13" t="s">
        <v>75</v>
      </c>
      <c r="C43" s="115"/>
      <c r="D43" s="69">
        <v>62283100</v>
      </c>
      <c r="E43" s="69">
        <v>73707859.560000002</v>
      </c>
      <c r="F43" s="69">
        <v>1987481.82</v>
      </c>
      <c r="G43" s="69">
        <v>1731221</v>
      </c>
      <c r="H43" s="69"/>
      <c r="I43" s="69"/>
      <c r="J43" s="69"/>
      <c r="K43" s="29">
        <v>451876</v>
      </c>
      <c r="L43" s="29"/>
      <c r="M43" s="29">
        <v>451876</v>
      </c>
      <c r="N43" s="29">
        <v>61222</v>
      </c>
      <c r="O43" s="29">
        <v>61222</v>
      </c>
      <c r="P43" s="29">
        <v>745636</v>
      </c>
      <c r="Q43" s="29">
        <v>446548</v>
      </c>
      <c r="R43" s="29">
        <v>153306300.38</v>
      </c>
      <c r="S43" s="70"/>
      <c r="T43" s="39"/>
      <c r="U43" s="29">
        <v>15700</v>
      </c>
      <c r="V43" s="70"/>
    </row>
    <row r="44" spans="1:22" ht="59.25" customHeight="1" x14ac:dyDescent="0.8">
      <c r="A44" s="12" t="s">
        <v>42</v>
      </c>
      <c r="B44" s="13" t="s">
        <v>76</v>
      </c>
      <c r="C44" s="115"/>
      <c r="D44" s="69">
        <v>38181500</v>
      </c>
      <c r="E44" s="69">
        <v>52223751.149999999</v>
      </c>
      <c r="F44" s="69">
        <v>1996569.52</v>
      </c>
      <c r="G44" s="69">
        <v>1892368</v>
      </c>
      <c r="H44" s="69"/>
      <c r="I44" s="69"/>
      <c r="J44" s="69"/>
      <c r="K44" s="29">
        <v>185500</v>
      </c>
      <c r="L44" s="29">
        <v>185500</v>
      </c>
      <c r="M44" s="29"/>
      <c r="N44" s="29">
        <v>0</v>
      </c>
      <c r="O44" s="29"/>
      <c r="P44" s="29">
        <v>410528</v>
      </c>
      <c r="Q44" s="29">
        <v>611741</v>
      </c>
      <c r="R44" s="29">
        <v>102281316.67</v>
      </c>
      <c r="S44" s="70"/>
      <c r="T44" s="39"/>
      <c r="U44" s="29">
        <v>5600</v>
      </c>
      <c r="V44" s="70"/>
    </row>
    <row r="45" spans="1:22" ht="63" customHeight="1" x14ac:dyDescent="0.8">
      <c r="A45" s="12" t="s">
        <v>43</v>
      </c>
      <c r="B45" s="13" t="s">
        <v>77</v>
      </c>
      <c r="C45" s="115"/>
      <c r="D45" s="69">
        <v>48365400</v>
      </c>
      <c r="E45" s="69">
        <v>76605024.400000006</v>
      </c>
      <c r="F45" s="69">
        <v>2126408.23</v>
      </c>
      <c r="G45" s="69">
        <v>4010666</v>
      </c>
      <c r="H45" s="69">
        <v>784884</v>
      </c>
      <c r="I45" s="69"/>
      <c r="J45" s="69"/>
      <c r="K45" s="29">
        <v>62900</v>
      </c>
      <c r="L45" s="29">
        <v>62900</v>
      </c>
      <c r="M45" s="29"/>
      <c r="N45" s="29">
        <v>0</v>
      </c>
      <c r="O45" s="29"/>
      <c r="P45" s="29">
        <v>236340</v>
      </c>
      <c r="Q45" s="29">
        <v>299021.78000000003</v>
      </c>
      <c r="R45" s="29">
        <v>135874670.41000003</v>
      </c>
      <c r="S45" s="70"/>
      <c r="T45" s="39"/>
      <c r="U45" s="29">
        <v>6200</v>
      </c>
      <c r="V45" s="70"/>
    </row>
    <row r="46" spans="1:22" ht="59.25" customHeight="1" x14ac:dyDescent="0.8">
      <c r="A46" s="12" t="s">
        <v>44</v>
      </c>
      <c r="B46" s="13" t="s">
        <v>78</v>
      </c>
      <c r="C46" s="115"/>
      <c r="D46" s="69">
        <v>39374100</v>
      </c>
      <c r="E46" s="69">
        <v>69610030.310000002</v>
      </c>
      <c r="F46" s="69">
        <v>1354964.26</v>
      </c>
      <c r="G46" s="69">
        <v>1552076</v>
      </c>
      <c r="H46" s="69"/>
      <c r="I46" s="69"/>
      <c r="J46" s="69"/>
      <c r="K46" s="29">
        <v>0</v>
      </c>
      <c r="L46" s="29"/>
      <c r="M46" s="29"/>
      <c r="N46" s="29">
        <v>0</v>
      </c>
      <c r="O46" s="29">
        <v>0</v>
      </c>
      <c r="P46" s="29">
        <v>97607</v>
      </c>
      <c r="Q46" s="29">
        <v>0</v>
      </c>
      <c r="R46" s="29">
        <v>116427490.57000001</v>
      </c>
      <c r="S46" s="70"/>
      <c r="T46" s="39"/>
      <c r="U46" s="29">
        <v>2300</v>
      </c>
      <c r="V46" s="70"/>
    </row>
    <row r="47" spans="1:22" ht="63" customHeight="1" x14ac:dyDescent="0.8">
      <c r="A47" s="12" t="s">
        <v>45</v>
      </c>
      <c r="B47" s="13" t="s">
        <v>79</v>
      </c>
      <c r="C47" s="115"/>
      <c r="D47" s="69">
        <v>35517300</v>
      </c>
      <c r="E47" s="69">
        <v>58241383.18</v>
      </c>
      <c r="F47" s="69">
        <v>1228942.46</v>
      </c>
      <c r="G47" s="69">
        <v>1767943</v>
      </c>
      <c r="H47" s="69"/>
      <c r="I47" s="69"/>
      <c r="J47" s="69"/>
      <c r="K47" s="29">
        <v>0</v>
      </c>
      <c r="L47" s="29"/>
      <c r="M47" s="29"/>
      <c r="N47" s="29">
        <v>0</v>
      </c>
      <c r="O47" s="29"/>
      <c r="P47" s="29">
        <v>102083</v>
      </c>
      <c r="Q47" s="29">
        <v>1069467</v>
      </c>
      <c r="R47" s="29">
        <v>107003249.64</v>
      </c>
      <c r="S47" s="70"/>
      <c r="T47" s="39"/>
      <c r="U47" s="29">
        <v>1900</v>
      </c>
      <c r="V47" s="70"/>
    </row>
    <row r="48" spans="1:22" ht="63" customHeight="1" x14ac:dyDescent="0.8">
      <c r="A48" s="12" t="s">
        <v>46</v>
      </c>
      <c r="B48" s="13" t="s">
        <v>80</v>
      </c>
      <c r="C48" s="115"/>
      <c r="D48" s="69">
        <v>18118100</v>
      </c>
      <c r="E48" s="69">
        <v>26991299.98</v>
      </c>
      <c r="F48" s="69">
        <v>1489692.23</v>
      </c>
      <c r="G48" s="69">
        <v>1700322</v>
      </c>
      <c r="H48" s="69"/>
      <c r="I48" s="69"/>
      <c r="J48" s="69"/>
      <c r="K48" s="29">
        <v>0</v>
      </c>
      <c r="L48" s="29"/>
      <c r="M48" s="29"/>
      <c r="N48" s="29">
        <v>0</v>
      </c>
      <c r="O48" s="29"/>
      <c r="P48" s="29">
        <v>310359</v>
      </c>
      <c r="Q48" s="29">
        <v>59437</v>
      </c>
      <c r="R48" s="29">
        <v>56157849.210000001</v>
      </c>
      <c r="S48" s="70"/>
      <c r="T48" s="39"/>
      <c r="U48" s="29">
        <v>4684</v>
      </c>
      <c r="V48" s="70"/>
    </row>
    <row r="49" spans="1:22" ht="63" customHeight="1" x14ac:dyDescent="0.8">
      <c r="A49" s="12"/>
      <c r="B49" s="13" t="s">
        <v>50</v>
      </c>
      <c r="C49" s="115">
        <v>0</v>
      </c>
      <c r="D49" s="69">
        <v>1151484600</v>
      </c>
      <c r="E49" s="69">
        <v>1637394190.2599998</v>
      </c>
      <c r="F49" s="69">
        <v>45091828.780000001</v>
      </c>
      <c r="G49" s="69">
        <v>57404586</v>
      </c>
      <c r="H49" s="69">
        <v>9679335.7400000002</v>
      </c>
      <c r="I49" s="69">
        <v>3001184</v>
      </c>
      <c r="J49" s="69">
        <v>784883.96</v>
      </c>
      <c r="K49" s="29">
        <v>4428256</v>
      </c>
      <c r="L49" s="29">
        <v>248400</v>
      </c>
      <c r="M49" s="29">
        <v>4179856</v>
      </c>
      <c r="N49" s="29">
        <v>2133885.29</v>
      </c>
      <c r="O49" s="29">
        <v>485085.29</v>
      </c>
      <c r="P49" s="29">
        <v>15001379</v>
      </c>
      <c r="Q49" s="29">
        <v>15261134.780000001</v>
      </c>
      <c r="R49" s="29">
        <v>3195143620</v>
      </c>
      <c r="S49" s="69">
        <v>3554000</v>
      </c>
      <c r="T49" s="69">
        <v>0</v>
      </c>
      <c r="U49" s="29">
        <v>15289355</v>
      </c>
      <c r="V49" s="69">
        <f>V48+V47+V46+V45+V44+V43+V42+V41+V40+V39+V38+V37+V36+V35+V34+V33+V32+V31+V30+V29+V28+V27</f>
        <v>0</v>
      </c>
    </row>
    <row r="50" spans="1:22" ht="59.25" customHeight="1" x14ac:dyDescent="0.8">
      <c r="A50" s="12"/>
      <c r="B50" s="13" t="s">
        <v>99</v>
      </c>
      <c r="C50" s="115"/>
      <c r="D50" s="69"/>
      <c r="E50" s="69"/>
      <c r="F50" s="69"/>
      <c r="G50" s="69"/>
      <c r="H50" s="69"/>
      <c r="I50" s="69"/>
      <c r="J50" s="69"/>
      <c r="K50" s="29">
        <v>0</v>
      </c>
      <c r="L50" s="29"/>
      <c r="M50" s="29"/>
      <c r="N50" s="29">
        <v>0</v>
      </c>
      <c r="O50" s="29"/>
      <c r="P50" s="29">
        <v>0</v>
      </c>
      <c r="Q50" s="29"/>
      <c r="R50" s="29">
        <v>0</v>
      </c>
      <c r="S50" s="69"/>
      <c r="T50" s="29"/>
      <c r="U50" s="29">
        <v>0</v>
      </c>
      <c r="V50" s="69"/>
    </row>
    <row r="51" spans="1:22" ht="59.25" customHeight="1" x14ac:dyDescent="0.8">
      <c r="A51" s="12" t="s">
        <v>100</v>
      </c>
      <c r="B51" s="13" t="s">
        <v>101</v>
      </c>
      <c r="C51" s="115"/>
      <c r="D51" s="69"/>
      <c r="E51" s="69"/>
      <c r="F51" s="69"/>
      <c r="G51" s="69"/>
      <c r="H51" s="69"/>
      <c r="I51" s="69"/>
      <c r="J51" s="69"/>
      <c r="K51" s="29">
        <v>451876</v>
      </c>
      <c r="L51" s="29"/>
      <c r="M51" s="29">
        <v>451876</v>
      </c>
      <c r="N51" s="29">
        <v>286766</v>
      </c>
      <c r="O51" s="29">
        <v>80666</v>
      </c>
      <c r="P51" s="29">
        <v>888271</v>
      </c>
      <c r="Q51" s="29">
        <v>763875</v>
      </c>
      <c r="R51" s="29">
        <v>15251585</v>
      </c>
      <c r="S51" s="69"/>
      <c r="T51" s="29"/>
      <c r="U51" s="29">
        <v>23900</v>
      </c>
      <c r="V51" s="69"/>
    </row>
    <row r="52" spans="1:22" ht="59.25" customHeight="1" x14ac:dyDescent="0.8">
      <c r="A52" s="12" t="s">
        <v>102</v>
      </c>
      <c r="B52" s="13" t="s">
        <v>103</v>
      </c>
      <c r="C52" s="115"/>
      <c r="D52" s="69"/>
      <c r="E52" s="69"/>
      <c r="F52" s="69"/>
      <c r="G52" s="69"/>
      <c r="H52" s="69"/>
      <c r="I52" s="69"/>
      <c r="J52" s="69"/>
      <c r="K52" s="29">
        <v>225938</v>
      </c>
      <c r="L52" s="29"/>
      <c r="M52" s="29">
        <v>225938</v>
      </c>
      <c r="N52" s="29">
        <v>58933</v>
      </c>
      <c r="O52" s="29">
        <v>58933</v>
      </c>
      <c r="P52" s="29">
        <v>240265</v>
      </c>
      <c r="Q52" s="29">
        <v>506807</v>
      </c>
      <c r="R52" s="29">
        <v>2204875</v>
      </c>
      <c r="S52" s="69">
        <v>0</v>
      </c>
      <c r="T52" s="29"/>
      <c r="U52" s="29">
        <v>7000</v>
      </c>
      <c r="V52" s="69"/>
    </row>
    <row r="53" spans="1:22" ht="55.5" customHeight="1" x14ac:dyDescent="0.8">
      <c r="A53" s="12" t="s">
        <v>104</v>
      </c>
      <c r="B53" s="13" t="s">
        <v>105</v>
      </c>
      <c r="C53" s="115"/>
      <c r="D53" s="69"/>
      <c r="E53" s="69"/>
      <c r="F53" s="69"/>
      <c r="G53" s="69"/>
      <c r="H53" s="69"/>
      <c r="I53" s="69"/>
      <c r="J53" s="69"/>
      <c r="K53" s="29">
        <v>0</v>
      </c>
      <c r="L53" s="29"/>
      <c r="M53" s="29"/>
      <c r="N53" s="29">
        <v>68844</v>
      </c>
      <c r="O53" s="29">
        <v>68844</v>
      </c>
      <c r="P53" s="29">
        <v>227648</v>
      </c>
      <c r="Q53" s="29">
        <v>98000</v>
      </c>
      <c r="R53" s="29">
        <v>2853354</v>
      </c>
      <c r="S53" s="69">
        <v>10760495</v>
      </c>
      <c r="T53" s="29"/>
      <c r="U53" s="29">
        <v>10768095</v>
      </c>
      <c r="V53" s="69"/>
    </row>
    <row r="54" spans="1:22" ht="59.25" customHeight="1" x14ac:dyDescent="0.8">
      <c r="A54" s="12" t="s">
        <v>106</v>
      </c>
      <c r="B54" s="13" t="s">
        <v>107</v>
      </c>
      <c r="C54" s="115">
        <v>450000</v>
      </c>
      <c r="D54" s="69"/>
      <c r="E54" s="69"/>
      <c r="F54" s="69"/>
      <c r="G54" s="69"/>
      <c r="H54" s="69"/>
      <c r="I54" s="69"/>
      <c r="J54" s="69"/>
      <c r="K54" s="29">
        <v>0</v>
      </c>
      <c r="L54" s="29"/>
      <c r="M54" s="29"/>
      <c r="N54" s="29">
        <v>0</v>
      </c>
      <c r="O54" s="29"/>
      <c r="P54" s="29">
        <v>158534</v>
      </c>
      <c r="Q54" s="29"/>
      <c r="R54" s="29">
        <v>4668896</v>
      </c>
      <c r="S54" s="69"/>
      <c r="T54" s="29"/>
      <c r="U54" s="29">
        <v>4300</v>
      </c>
      <c r="V54" s="69"/>
    </row>
    <row r="55" spans="1:22" ht="59.25" customHeight="1" x14ac:dyDescent="0.8">
      <c r="A55" s="12" t="s">
        <v>242</v>
      </c>
      <c r="B55" s="13" t="s">
        <v>243</v>
      </c>
      <c r="C55" s="115"/>
      <c r="D55" s="69"/>
      <c r="E55" s="69"/>
      <c r="F55" s="69"/>
      <c r="G55" s="69"/>
      <c r="H55" s="69"/>
      <c r="I55" s="69"/>
      <c r="J55" s="69"/>
      <c r="K55" s="29">
        <v>112200</v>
      </c>
      <c r="L55" s="29">
        <v>112200</v>
      </c>
      <c r="M55" s="29"/>
      <c r="N55" s="29">
        <v>206100</v>
      </c>
      <c r="O55" s="29"/>
      <c r="P55" s="29">
        <v>177086</v>
      </c>
      <c r="Q55" s="29"/>
      <c r="R55" s="29">
        <v>5381033</v>
      </c>
      <c r="S55" s="69"/>
      <c r="T55" s="29"/>
      <c r="U55" s="29">
        <v>3100</v>
      </c>
      <c r="V55" s="69"/>
    </row>
    <row r="56" spans="1:22" ht="63" customHeight="1" x14ac:dyDescent="0.8">
      <c r="A56" s="12" t="s">
        <v>108</v>
      </c>
      <c r="B56" s="13" t="s">
        <v>109</v>
      </c>
      <c r="C56" s="115"/>
      <c r="D56" s="69"/>
      <c r="E56" s="69"/>
      <c r="F56" s="69"/>
      <c r="G56" s="69"/>
      <c r="H56" s="69"/>
      <c r="I56" s="69"/>
      <c r="J56" s="69"/>
      <c r="K56" s="29">
        <v>338907</v>
      </c>
      <c r="L56" s="29"/>
      <c r="M56" s="29">
        <v>338907</v>
      </c>
      <c r="N56" s="29">
        <v>21427</v>
      </c>
      <c r="O56" s="29">
        <v>21427</v>
      </c>
      <c r="P56" s="29">
        <v>520369</v>
      </c>
      <c r="Q56" s="29">
        <v>450939</v>
      </c>
      <c r="R56" s="29">
        <v>5165582</v>
      </c>
      <c r="S56" s="69"/>
      <c r="T56" s="29"/>
      <c r="U56" s="29">
        <v>30020000</v>
      </c>
      <c r="V56" s="69"/>
    </row>
    <row r="57" spans="1:22" ht="59.25" customHeight="1" x14ac:dyDescent="0.8">
      <c r="A57" s="12" t="s">
        <v>110</v>
      </c>
      <c r="B57" s="13" t="s">
        <v>111</v>
      </c>
      <c r="C57" s="115"/>
      <c r="D57" s="69"/>
      <c r="E57" s="69"/>
      <c r="F57" s="69"/>
      <c r="G57" s="69"/>
      <c r="H57" s="69"/>
      <c r="I57" s="69"/>
      <c r="J57" s="69"/>
      <c r="K57" s="29">
        <v>0</v>
      </c>
      <c r="L57" s="29"/>
      <c r="M57" s="29"/>
      <c r="N57" s="29">
        <v>0</v>
      </c>
      <c r="O57" s="29"/>
      <c r="P57" s="29">
        <v>287438</v>
      </c>
      <c r="Q57" s="29">
        <v>197814</v>
      </c>
      <c r="R57" s="29">
        <v>4407566.75</v>
      </c>
      <c r="S57" s="69"/>
      <c r="T57" s="29"/>
      <c r="U57" s="29">
        <v>0</v>
      </c>
      <c r="V57" s="69"/>
    </row>
    <row r="58" spans="1:22" ht="63" customHeight="1" x14ac:dyDescent="0.8">
      <c r="A58" s="12" t="s">
        <v>112</v>
      </c>
      <c r="B58" s="13" t="s">
        <v>113</v>
      </c>
      <c r="C58" s="115"/>
      <c r="D58" s="69"/>
      <c r="E58" s="69"/>
      <c r="F58" s="69"/>
      <c r="G58" s="69"/>
      <c r="H58" s="69"/>
      <c r="I58" s="69"/>
      <c r="J58" s="69"/>
      <c r="K58" s="29">
        <v>0</v>
      </c>
      <c r="L58" s="29"/>
      <c r="M58" s="29"/>
      <c r="N58" s="29">
        <v>0</v>
      </c>
      <c r="O58" s="29"/>
      <c r="P58" s="29">
        <v>62314</v>
      </c>
      <c r="Q58" s="29"/>
      <c r="R58" s="29">
        <v>1108230</v>
      </c>
      <c r="S58" s="69"/>
      <c r="T58" s="29"/>
      <c r="U58" s="29">
        <v>2200</v>
      </c>
      <c r="V58" s="69"/>
    </row>
    <row r="59" spans="1:22" ht="59.25" customHeight="1" x14ac:dyDescent="0.8">
      <c r="A59" s="12" t="s">
        <v>159</v>
      </c>
      <c r="B59" s="13" t="s">
        <v>160</v>
      </c>
      <c r="C59" s="115"/>
      <c r="D59" s="69"/>
      <c r="E59" s="69"/>
      <c r="F59" s="69"/>
      <c r="G59" s="69"/>
      <c r="H59" s="69"/>
      <c r="I59" s="69"/>
      <c r="J59" s="69"/>
      <c r="K59" s="29">
        <v>0</v>
      </c>
      <c r="L59" s="29"/>
      <c r="M59" s="29"/>
      <c r="N59" s="29">
        <v>0</v>
      </c>
      <c r="O59" s="29"/>
      <c r="P59" s="29">
        <v>123629</v>
      </c>
      <c r="Q59" s="29"/>
      <c r="R59" s="29">
        <v>1026260</v>
      </c>
      <c r="S59" s="69">
        <v>50000</v>
      </c>
      <c r="T59" s="29"/>
      <c r="U59" s="29">
        <v>53700</v>
      </c>
      <c r="V59" s="69"/>
    </row>
    <row r="60" spans="1:22" ht="59.25" customHeight="1" x14ac:dyDescent="0.8">
      <c r="A60" s="12" t="s">
        <v>114</v>
      </c>
      <c r="B60" s="13" t="s">
        <v>115</v>
      </c>
      <c r="C60" s="115"/>
      <c r="D60" s="69"/>
      <c r="E60" s="69"/>
      <c r="F60" s="69"/>
      <c r="G60" s="69"/>
      <c r="H60" s="69"/>
      <c r="I60" s="69"/>
      <c r="J60" s="69"/>
      <c r="K60" s="29">
        <v>0</v>
      </c>
      <c r="L60" s="29"/>
      <c r="M60" s="29"/>
      <c r="N60" s="29">
        <v>0</v>
      </c>
      <c r="O60" s="29"/>
      <c r="P60" s="29">
        <v>154405</v>
      </c>
      <c r="Q60" s="29"/>
      <c r="R60" s="29">
        <v>1474652</v>
      </c>
      <c r="S60" s="69"/>
      <c r="T60" s="29"/>
      <c r="U60" s="29">
        <v>5000</v>
      </c>
      <c r="V60" s="69"/>
    </row>
    <row r="61" spans="1:22" ht="66.75" customHeight="1" x14ac:dyDescent="0.8">
      <c r="A61" s="12" t="s">
        <v>116</v>
      </c>
      <c r="B61" s="13" t="s">
        <v>117</v>
      </c>
      <c r="C61" s="115"/>
      <c r="D61" s="69"/>
      <c r="E61" s="69"/>
      <c r="F61" s="69"/>
      <c r="G61" s="69"/>
      <c r="H61" s="69"/>
      <c r="I61" s="69"/>
      <c r="J61" s="69"/>
      <c r="K61" s="29">
        <v>112969</v>
      </c>
      <c r="L61" s="29"/>
      <c r="M61" s="29">
        <v>112969</v>
      </c>
      <c r="N61" s="29">
        <v>0</v>
      </c>
      <c r="O61" s="29"/>
      <c r="P61" s="29">
        <v>268141</v>
      </c>
      <c r="Q61" s="29">
        <v>301646</v>
      </c>
      <c r="R61" s="29">
        <v>2721134</v>
      </c>
      <c r="S61" s="69"/>
      <c r="T61" s="29"/>
      <c r="U61" s="29">
        <v>16511200</v>
      </c>
      <c r="V61" s="69"/>
    </row>
    <row r="62" spans="1:22" ht="63" customHeight="1" x14ac:dyDescent="0.8">
      <c r="A62" s="12" t="s">
        <v>118</v>
      </c>
      <c r="B62" s="13" t="s">
        <v>119</v>
      </c>
      <c r="C62" s="115"/>
      <c r="D62" s="69"/>
      <c r="E62" s="69"/>
      <c r="F62" s="69"/>
      <c r="G62" s="69"/>
      <c r="H62" s="69"/>
      <c r="I62" s="69"/>
      <c r="J62" s="69"/>
      <c r="K62" s="29">
        <v>112969</v>
      </c>
      <c r="L62" s="29"/>
      <c r="M62" s="29">
        <v>112969</v>
      </c>
      <c r="N62" s="29">
        <v>0</v>
      </c>
      <c r="O62" s="29"/>
      <c r="P62" s="29">
        <v>155133</v>
      </c>
      <c r="Q62" s="29"/>
      <c r="R62" s="29">
        <v>2164149</v>
      </c>
      <c r="S62" s="69"/>
      <c r="T62" s="29"/>
      <c r="U62" s="29">
        <v>4300</v>
      </c>
      <c r="V62" s="69"/>
    </row>
    <row r="63" spans="1:22" ht="63" customHeight="1" x14ac:dyDescent="0.8">
      <c r="A63" s="12" t="s">
        <v>120</v>
      </c>
      <c r="B63" s="13" t="s">
        <v>121</v>
      </c>
      <c r="C63" s="115"/>
      <c r="D63" s="69"/>
      <c r="E63" s="69"/>
      <c r="F63" s="69"/>
      <c r="G63" s="69"/>
      <c r="H63" s="69"/>
      <c r="I63" s="69"/>
      <c r="J63" s="69"/>
      <c r="K63" s="29">
        <v>323500</v>
      </c>
      <c r="L63" s="29">
        <v>323500</v>
      </c>
      <c r="M63" s="29"/>
      <c r="N63" s="29">
        <v>52112</v>
      </c>
      <c r="O63" s="29">
        <v>52112</v>
      </c>
      <c r="P63" s="29">
        <v>488314</v>
      </c>
      <c r="Q63" s="29">
        <v>462549</v>
      </c>
      <c r="R63" s="29">
        <v>8402816</v>
      </c>
      <c r="S63" s="69"/>
      <c r="T63" s="29"/>
      <c r="U63" s="29">
        <v>14100</v>
      </c>
      <c r="V63" s="69"/>
    </row>
    <row r="64" spans="1:22" ht="55.5" customHeight="1" x14ac:dyDescent="0.8">
      <c r="A64" s="12" t="s">
        <v>122</v>
      </c>
      <c r="B64" s="13" t="s">
        <v>123</v>
      </c>
      <c r="C64" s="115">
        <v>300000</v>
      </c>
      <c r="D64" s="69"/>
      <c r="E64" s="69"/>
      <c r="F64" s="69"/>
      <c r="G64" s="69"/>
      <c r="H64" s="69"/>
      <c r="I64" s="69"/>
      <c r="J64" s="69"/>
      <c r="K64" s="29">
        <v>0</v>
      </c>
      <c r="L64" s="29"/>
      <c r="M64" s="29"/>
      <c r="N64" s="29">
        <v>0</v>
      </c>
      <c r="O64" s="29"/>
      <c r="P64" s="29">
        <v>160297</v>
      </c>
      <c r="Q64" s="29">
        <v>254324</v>
      </c>
      <c r="R64" s="29">
        <v>5587509</v>
      </c>
      <c r="S64" s="69"/>
      <c r="T64" s="29"/>
      <c r="U64" s="29">
        <v>12000</v>
      </c>
      <c r="V64" s="69"/>
    </row>
    <row r="65" spans="1:22" ht="59.25" customHeight="1" x14ac:dyDescent="0.8">
      <c r="A65" s="12" t="s">
        <v>124</v>
      </c>
      <c r="B65" s="13" t="s">
        <v>190</v>
      </c>
      <c r="C65" s="115"/>
      <c r="D65" s="69"/>
      <c r="E65" s="69"/>
      <c r="F65" s="69"/>
      <c r="G65" s="69"/>
      <c r="H65" s="69"/>
      <c r="I65" s="69"/>
      <c r="J65" s="69"/>
      <c r="K65" s="29">
        <v>0</v>
      </c>
      <c r="L65" s="29"/>
      <c r="M65" s="29"/>
      <c r="N65" s="29">
        <v>0</v>
      </c>
      <c r="O65" s="29"/>
      <c r="P65" s="29">
        <v>436513</v>
      </c>
      <c r="Q65" s="29"/>
      <c r="R65" s="29">
        <v>1455322</v>
      </c>
      <c r="S65" s="69"/>
      <c r="T65" s="29"/>
      <c r="U65" s="29">
        <v>58014400</v>
      </c>
      <c r="V65" s="69"/>
    </row>
    <row r="66" spans="1:22" ht="59.25" customHeight="1" x14ac:dyDescent="0.8">
      <c r="A66" s="12" t="s">
        <v>220</v>
      </c>
      <c r="B66" s="13" t="s">
        <v>221</v>
      </c>
      <c r="C66" s="115"/>
      <c r="D66" s="69"/>
      <c r="E66" s="69"/>
      <c r="F66" s="69"/>
      <c r="G66" s="69"/>
      <c r="H66" s="69"/>
      <c r="I66" s="69"/>
      <c r="J66" s="69"/>
      <c r="K66" s="29">
        <v>225938</v>
      </c>
      <c r="L66" s="29"/>
      <c r="M66" s="29">
        <v>225938</v>
      </c>
      <c r="N66" s="29">
        <v>0</v>
      </c>
      <c r="O66" s="29"/>
      <c r="P66" s="29">
        <v>117395</v>
      </c>
      <c r="Q66" s="29"/>
      <c r="R66" s="29">
        <v>2951164</v>
      </c>
      <c r="S66" s="69"/>
      <c r="T66" s="29"/>
      <c r="U66" s="29">
        <v>3468</v>
      </c>
      <c r="V66" s="69"/>
    </row>
    <row r="67" spans="1:22" ht="66.75" customHeight="1" x14ac:dyDescent="0.8">
      <c r="A67" s="12" t="s">
        <v>125</v>
      </c>
      <c r="B67" s="13" t="s">
        <v>329</v>
      </c>
      <c r="C67" s="115"/>
      <c r="D67" s="69"/>
      <c r="E67" s="69"/>
      <c r="F67" s="69"/>
      <c r="G67" s="69"/>
      <c r="H67" s="69"/>
      <c r="I67" s="69"/>
      <c r="J67" s="69"/>
      <c r="K67" s="29">
        <v>112969</v>
      </c>
      <c r="L67" s="29"/>
      <c r="M67" s="29">
        <v>112969</v>
      </c>
      <c r="N67" s="29">
        <v>21427</v>
      </c>
      <c r="O67" s="29">
        <v>21427</v>
      </c>
      <c r="P67" s="29">
        <v>157459</v>
      </c>
      <c r="Q67" s="29">
        <v>60000</v>
      </c>
      <c r="R67" s="29">
        <v>1104802</v>
      </c>
      <c r="S67" s="69"/>
      <c r="T67" s="29"/>
      <c r="U67" s="29">
        <v>5100</v>
      </c>
      <c r="V67" s="69"/>
    </row>
    <row r="68" spans="1:22" ht="63" customHeight="1" x14ac:dyDescent="0.8">
      <c r="A68" s="12" t="s">
        <v>126</v>
      </c>
      <c r="B68" s="13" t="s">
        <v>127</v>
      </c>
      <c r="C68" s="115"/>
      <c r="D68" s="69"/>
      <c r="E68" s="69"/>
      <c r="F68" s="69"/>
      <c r="G68" s="69"/>
      <c r="H68" s="69"/>
      <c r="I68" s="69"/>
      <c r="J68" s="69"/>
      <c r="K68" s="29">
        <v>112969</v>
      </c>
      <c r="L68" s="29"/>
      <c r="M68" s="29">
        <v>112969</v>
      </c>
      <c r="N68" s="29">
        <v>0</v>
      </c>
      <c r="O68" s="29"/>
      <c r="P68" s="29">
        <v>182563</v>
      </c>
      <c r="Q68" s="29">
        <v>114534</v>
      </c>
      <c r="R68" s="29">
        <v>2835379</v>
      </c>
      <c r="S68" s="69">
        <v>350000</v>
      </c>
      <c r="T68" s="29"/>
      <c r="U68" s="29">
        <v>355800</v>
      </c>
      <c r="V68" s="69"/>
    </row>
    <row r="69" spans="1:22" ht="63" customHeight="1" x14ac:dyDescent="0.8">
      <c r="A69" s="12" t="s">
        <v>128</v>
      </c>
      <c r="B69" s="13" t="s">
        <v>129</v>
      </c>
      <c r="C69" s="115"/>
      <c r="D69" s="69"/>
      <c r="E69" s="69"/>
      <c r="F69" s="69"/>
      <c r="G69" s="69"/>
      <c r="H69" s="69"/>
      <c r="I69" s="69"/>
      <c r="J69" s="69"/>
      <c r="K69" s="29">
        <v>451876</v>
      </c>
      <c r="L69" s="29"/>
      <c r="M69" s="29">
        <v>451876</v>
      </c>
      <c r="N69" s="29">
        <v>183666</v>
      </c>
      <c r="O69" s="29">
        <v>183666</v>
      </c>
      <c r="P69" s="29">
        <v>563425</v>
      </c>
      <c r="Q69" s="29"/>
      <c r="R69" s="29">
        <v>8700080</v>
      </c>
      <c r="S69" s="69"/>
      <c r="T69" s="29"/>
      <c r="U69" s="29">
        <v>2016700</v>
      </c>
      <c r="V69" s="69"/>
    </row>
    <row r="70" spans="1:22" ht="63" customHeight="1" x14ac:dyDescent="0.8">
      <c r="A70" s="12" t="s">
        <v>193</v>
      </c>
      <c r="B70" s="13" t="s">
        <v>194</v>
      </c>
      <c r="C70" s="115"/>
      <c r="D70" s="69"/>
      <c r="E70" s="69"/>
      <c r="F70" s="69"/>
      <c r="G70" s="69"/>
      <c r="H70" s="69"/>
      <c r="I70" s="69"/>
      <c r="J70" s="69"/>
      <c r="K70" s="29">
        <v>0</v>
      </c>
      <c r="L70" s="29"/>
      <c r="M70" s="29"/>
      <c r="N70" s="29">
        <v>0</v>
      </c>
      <c r="O70" s="29"/>
      <c r="P70" s="29">
        <v>123530</v>
      </c>
      <c r="Q70" s="29"/>
      <c r="R70" s="29">
        <v>1305161</v>
      </c>
      <c r="S70" s="69">
        <v>0</v>
      </c>
      <c r="T70" s="29"/>
      <c r="U70" s="29">
        <v>3900</v>
      </c>
      <c r="V70" s="69"/>
    </row>
    <row r="71" spans="1:22" ht="59.25" customHeight="1" x14ac:dyDescent="0.8">
      <c r="A71" s="12" t="s">
        <v>130</v>
      </c>
      <c r="B71" s="13" t="s">
        <v>131</v>
      </c>
      <c r="C71" s="115"/>
      <c r="D71" s="69"/>
      <c r="E71" s="69"/>
      <c r="F71" s="69"/>
      <c r="G71" s="69"/>
      <c r="H71" s="69"/>
      <c r="I71" s="69"/>
      <c r="J71" s="69"/>
      <c r="K71" s="29">
        <v>338907</v>
      </c>
      <c r="L71" s="29"/>
      <c r="M71" s="29">
        <v>338907</v>
      </c>
      <c r="N71" s="29">
        <v>311407.06</v>
      </c>
      <c r="O71" s="29">
        <v>105307.06</v>
      </c>
      <c r="P71" s="29">
        <v>328904</v>
      </c>
      <c r="Q71" s="29">
        <v>169331</v>
      </c>
      <c r="R71" s="29">
        <v>4113142.0600000005</v>
      </c>
      <c r="S71" s="69">
        <v>1000000</v>
      </c>
      <c r="T71" s="29"/>
      <c r="U71" s="29">
        <v>1008831</v>
      </c>
      <c r="V71" s="69"/>
    </row>
    <row r="72" spans="1:22" ht="63" customHeight="1" x14ac:dyDescent="0.8">
      <c r="A72" s="12" t="s">
        <v>240</v>
      </c>
      <c r="B72" s="13" t="s">
        <v>241</v>
      </c>
      <c r="C72" s="115"/>
      <c r="D72" s="69"/>
      <c r="E72" s="69"/>
      <c r="F72" s="69"/>
      <c r="G72" s="69"/>
      <c r="H72" s="69"/>
      <c r="I72" s="69"/>
      <c r="J72" s="69"/>
      <c r="K72" s="29">
        <v>0</v>
      </c>
      <c r="L72" s="29"/>
      <c r="M72" s="29"/>
      <c r="N72" s="29">
        <v>0</v>
      </c>
      <c r="O72" s="29"/>
      <c r="P72" s="29">
        <v>115477</v>
      </c>
      <c r="Q72" s="29"/>
      <c r="R72" s="29">
        <v>3028408</v>
      </c>
      <c r="S72" s="69"/>
      <c r="T72" s="29"/>
      <c r="U72" s="29">
        <v>3500</v>
      </c>
      <c r="V72" s="69"/>
    </row>
    <row r="73" spans="1:22" ht="66.75" customHeight="1" x14ac:dyDescent="0.8">
      <c r="A73" s="12" t="s">
        <v>238</v>
      </c>
      <c r="B73" s="13" t="s">
        <v>239</v>
      </c>
      <c r="C73" s="115"/>
      <c r="D73" s="69"/>
      <c r="E73" s="69"/>
      <c r="F73" s="69"/>
      <c r="G73" s="69"/>
      <c r="H73" s="69"/>
      <c r="I73" s="69"/>
      <c r="J73" s="69"/>
      <c r="K73" s="29">
        <v>112969</v>
      </c>
      <c r="L73" s="29"/>
      <c r="M73" s="29">
        <v>112969</v>
      </c>
      <c r="N73" s="29">
        <v>489521</v>
      </c>
      <c r="O73" s="29">
        <v>283421</v>
      </c>
      <c r="P73" s="29">
        <v>539501</v>
      </c>
      <c r="Q73" s="29"/>
      <c r="R73" s="29">
        <v>9321962</v>
      </c>
      <c r="S73" s="69"/>
      <c r="T73" s="29">
        <v>1500000</v>
      </c>
      <c r="U73" s="29">
        <v>1517200</v>
      </c>
      <c r="V73" s="69"/>
    </row>
    <row r="74" spans="1:22" ht="59.25" customHeight="1" x14ac:dyDescent="0.8">
      <c r="A74" s="12" t="s">
        <v>132</v>
      </c>
      <c r="B74" s="13" t="s">
        <v>133</v>
      </c>
      <c r="C74" s="115"/>
      <c r="D74" s="69"/>
      <c r="E74" s="69"/>
      <c r="F74" s="69"/>
      <c r="G74" s="69"/>
      <c r="H74" s="69"/>
      <c r="I74" s="69"/>
      <c r="J74" s="69"/>
      <c r="K74" s="29">
        <v>0</v>
      </c>
      <c r="L74" s="29"/>
      <c r="M74" s="29"/>
      <c r="N74" s="29">
        <v>0</v>
      </c>
      <c r="O74" s="29"/>
      <c r="P74" s="29">
        <v>159418</v>
      </c>
      <c r="Q74" s="29"/>
      <c r="R74" s="29">
        <v>1226565</v>
      </c>
      <c r="S74" s="69">
        <v>500000</v>
      </c>
      <c r="T74" s="29"/>
      <c r="U74" s="29">
        <v>603200</v>
      </c>
      <c r="V74" s="69"/>
    </row>
    <row r="75" spans="1:22" ht="59.25" customHeight="1" x14ac:dyDescent="0.8">
      <c r="A75" s="12" t="s">
        <v>227</v>
      </c>
      <c r="B75" s="13" t="s">
        <v>228</v>
      </c>
      <c r="C75" s="115"/>
      <c r="D75" s="69"/>
      <c r="E75" s="69"/>
      <c r="F75" s="69"/>
      <c r="G75" s="69"/>
      <c r="H75" s="69"/>
      <c r="I75" s="69"/>
      <c r="J75" s="69"/>
      <c r="K75" s="29">
        <v>0</v>
      </c>
      <c r="L75" s="29"/>
      <c r="M75" s="29"/>
      <c r="N75" s="29">
        <v>0</v>
      </c>
      <c r="O75" s="29"/>
      <c r="P75" s="29">
        <v>265842</v>
      </c>
      <c r="Q75" s="29"/>
      <c r="R75" s="29">
        <v>9000480</v>
      </c>
      <c r="S75" s="69">
        <v>0</v>
      </c>
      <c r="T75" s="29"/>
      <c r="U75" s="29">
        <v>8300</v>
      </c>
      <c r="V75" s="69"/>
    </row>
    <row r="76" spans="1:22" ht="63" customHeight="1" x14ac:dyDescent="0.8">
      <c r="A76" s="12" t="s">
        <v>195</v>
      </c>
      <c r="B76" s="13" t="s">
        <v>196</v>
      </c>
      <c r="C76" s="115"/>
      <c r="D76" s="69"/>
      <c r="E76" s="69"/>
      <c r="F76" s="69"/>
      <c r="G76" s="69"/>
      <c r="H76" s="69"/>
      <c r="I76" s="69"/>
      <c r="J76" s="69"/>
      <c r="K76" s="29">
        <v>338907</v>
      </c>
      <c r="L76" s="29"/>
      <c r="M76" s="29">
        <v>338907</v>
      </c>
      <c r="N76" s="29">
        <v>206100</v>
      </c>
      <c r="O76" s="29"/>
      <c r="P76" s="29">
        <v>585037</v>
      </c>
      <c r="Q76" s="29">
        <v>429308.22</v>
      </c>
      <c r="R76" s="29">
        <v>9829171.2199999988</v>
      </c>
      <c r="S76" s="69"/>
      <c r="T76" s="29"/>
      <c r="U76" s="29">
        <v>15000</v>
      </c>
      <c r="V76" s="69"/>
    </row>
    <row r="77" spans="1:22" ht="63" customHeight="1" x14ac:dyDescent="0.8">
      <c r="A77" s="12" t="s">
        <v>134</v>
      </c>
      <c r="B77" s="13" t="s">
        <v>135</v>
      </c>
      <c r="C77" s="115"/>
      <c r="D77" s="69"/>
      <c r="E77" s="69"/>
      <c r="F77" s="69"/>
      <c r="G77" s="69"/>
      <c r="H77" s="69"/>
      <c r="I77" s="69"/>
      <c r="J77" s="69"/>
      <c r="K77" s="29">
        <v>451876</v>
      </c>
      <c r="L77" s="29"/>
      <c r="M77" s="29">
        <v>451876</v>
      </c>
      <c r="N77" s="29">
        <v>227527</v>
      </c>
      <c r="O77" s="29">
        <v>21427</v>
      </c>
      <c r="P77" s="29">
        <v>495672</v>
      </c>
      <c r="Q77" s="29">
        <v>457452</v>
      </c>
      <c r="R77" s="29">
        <v>15871968</v>
      </c>
      <c r="S77" s="69"/>
      <c r="T77" s="29"/>
      <c r="U77" s="29">
        <v>15100</v>
      </c>
      <c r="V77" s="69"/>
    </row>
    <row r="78" spans="1:22" ht="66.75" customHeight="1" x14ac:dyDescent="0.8">
      <c r="A78" s="12" t="s">
        <v>197</v>
      </c>
      <c r="B78" s="13" t="s">
        <v>198</v>
      </c>
      <c r="C78" s="115"/>
      <c r="D78" s="69"/>
      <c r="E78" s="69"/>
      <c r="F78" s="69"/>
      <c r="G78" s="69"/>
      <c r="H78" s="69"/>
      <c r="I78" s="69"/>
      <c r="J78" s="69"/>
      <c r="K78" s="29">
        <v>0</v>
      </c>
      <c r="L78" s="29"/>
      <c r="M78" s="29"/>
      <c r="N78" s="29">
        <v>0</v>
      </c>
      <c r="O78" s="29"/>
      <c r="P78" s="29">
        <v>112121</v>
      </c>
      <c r="Q78" s="29"/>
      <c r="R78" s="29">
        <v>979252</v>
      </c>
      <c r="S78" s="69"/>
      <c r="T78" s="29"/>
      <c r="U78" s="29">
        <v>2500</v>
      </c>
      <c r="V78" s="69"/>
    </row>
    <row r="79" spans="1:22" ht="66.75" customHeight="1" x14ac:dyDescent="0.8">
      <c r="A79" s="12" t="s">
        <v>136</v>
      </c>
      <c r="B79" s="13" t="s">
        <v>137</v>
      </c>
      <c r="C79" s="115"/>
      <c r="D79" s="69"/>
      <c r="E79" s="69"/>
      <c r="F79" s="69"/>
      <c r="G79" s="69"/>
      <c r="H79" s="69"/>
      <c r="I79" s="69"/>
      <c r="J79" s="69"/>
      <c r="K79" s="29">
        <v>0</v>
      </c>
      <c r="L79" s="29"/>
      <c r="M79" s="29"/>
      <c r="N79" s="29">
        <v>0</v>
      </c>
      <c r="O79" s="29"/>
      <c r="P79" s="29">
        <v>165165</v>
      </c>
      <c r="Q79" s="29"/>
      <c r="R79" s="29">
        <v>1573812</v>
      </c>
      <c r="S79" s="69"/>
      <c r="T79" s="29"/>
      <c r="U79" s="29">
        <v>4000</v>
      </c>
      <c r="V79" s="69"/>
    </row>
    <row r="80" spans="1:22" ht="55.5" customHeight="1" x14ac:dyDescent="0.8">
      <c r="A80" s="12" t="s">
        <v>138</v>
      </c>
      <c r="B80" s="13" t="s">
        <v>139</v>
      </c>
      <c r="C80" s="115"/>
      <c r="D80" s="69"/>
      <c r="E80" s="69"/>
      <c r="F80" s="69"/>
      <c r="G80" s="69"/>
      <c r="H80" s="69"/>
      <c r="I80" s="69"/>
      <c r="J80" s="69"/>
      <c r="K80" s="29">
        <v>0</v>
      </c>
      <c r="L80" s="29"/>
      <c r="M80" s="29"/>
      <c r="N80" s="29">
        <v>206100</v>
      </c>
      <c r="O80" s="29"/>
      <c r="P80" s="29">
        <v>205796</v>
      </c>
      <c r="Q80" s="29"/>
      <c r="R80" s="29">
        <v>1585858</v>
      </c>
      <c r="S80" s="69">
        <v>0</v>
      </c>
      <c r="T80" s="29"/>
      <c r="U80" s="29">
        <v>3600</v>
      </c>
      <c r="V80" s="69"/>
    </row>
    <row r="81" spans="1:22" ht="59.25" customHeight="1" x14ac:dyDescent="0.8">
      <c r="A81" s="12" t="s">
        <v>140</v>
      </c>
      <c r="B81" s="13" t="s">
        <v>141</v>
      </c>
      <c r="C81" s="115">
        <v>250000</v>
      </c>
      <c r="D81" s="69"/>
      <c r="E81" s="69"/>
      <c r="F81" s="69"/>
      <c r="G81" s="69"/>
      <c r="H81" s="69"/>
      <c r="I81" s="69"/>
      <c r="J81" s="69"/>
      <c r="K81" s="29">
        <v>112969</v>
      </c>
      <c r="L81" s="29"/>
      <c r="M81" s="29">
        <v>112969</v>
      </c>
      <c r="N81" s="29">
        <v>0</v>
      </c>
      <c r="O81" s="29"/>
      <c r="P81" s="29">
        <v>126427</v>
      </c>
      <c r="Q81" s="29"/>
      <c r="R81" s="29">
        <v>2808227</v>
      </c>
      <c r="S81" s="69"/>
      <c r="T81" s="29"/>
      <c r="U81" s="29">
        <v>4400</v>
      </c>
      <c r="V81" s="69"/>
    </row>
    <row r="82" spans="1:22" ht="59.25" customHeight="1" x14ac:dyDescent="0.8">
      <c r="A82" s="12" t="s">
        <v>142</v>
      </c>
      <c r="B82" s="13" t="s">
        <v>143</v>
      </c>
      <c r="C82" s="115"/>
      <c r="D82" s="69"/>
      <c r="E82" s="69"/>
      <c r="F82" s="69"/>
      <c r="G82" s="69"/>
      <c r="H82" s="69"/>
      <c r="I82" s="69"/>
      <c r="J82" s="69"/>
      <c r="K82" s="29">
        <v>0</v>
      </c>
      <c r="L82" s="29"/>
      <c r="M82" s="29"/>
      <c r="N82" s="29">
        <v>0</v>
      </c>
      <c r="O82" s="29"/>
      <c r="P82" s="29">
        <v>144593</v>
      </c>
      <c r="Q82" s="29"/>
      <c r="R82" s="29">
        <v>465740</v>
      </c>
      <c r="S82" s="69"/>
      <c r="T82" s="29"/>
      <c r="U82" s="29">
        <v>2700</v>
      </c>
      <c r="V82" s="69"/>
    </row>
    <row r="83" spans="1:22" ht="63" customHeight="1" x14ac:dyDescent="0.8">
      <c r="A83" s="12" t="s">
        <v>144</v>
      </c>
      <c r="B83" s="13" t="s">
        <v>145</v>
      </c>
      <c r="C83" s="115"/>
      <c r="D83" s="69"/>
      <c r="E83" s="69"/>
      <c r="F83" s="69"/>
      <c r="G83" s="69"/>
      <c r="H83" s="69"/>
      <c r="I83" s="69"/>
      <c r="J83" s="69"/>
      <c r="K83" s="29">
        <v>0</v>
      </c>
      <c r="L83" s="29"/>
      <c r="M83" s="29"/>
      <c r="N83" s="29">
        <v>0</v>
      </c>
      <c r="O83" s="29"/>
      <c r="P83" s="29">
        <v>179423</v>
      </c>
      <c r="Q83" s="29"/>
      <c r="R83" s="29">
        <v>1693470</v>
      </c>
      <c r="S83" s="69"/>
      <c r="T83" s="29"/>
      <c r="U83" s="29">
        <v>4200</v>
      </c>
      <c r="V83" s="69"/>
    </row>
    <row r="84" spans="1:22" ht="63" customHeight="1" x14ac:dyDescent="0.8">
      <c r="A84" s="12" t="s">
        <v>146</v>
      </c>
      <c r="B84" s="13" t="s">
        <v>147</v>
      </c>
      <c r="C84" s="115"/>
      <c r="D84" s="69"/>
      <c r="E84" s="69"/>
      <c r="F84" s="69"/>
      <c r="G84" s="69"/>
      <c r="H84" s="69"/>
      <c r="I84" s="69"/>
      <c r="J84" s="69"/>
      <c r="K84" s="29">
        <v>112969</v>
      </c>
      <c r="L84" s="29"/>
      <c r="M84" s="29">
        <v>112969</v>
      </c>
      <c r="N84" s="29">
        <v>24224.53</v>
      </c>
      <c r="O84" s="29">
        <v>24224.53</v>
      </c>
      <c r="P84" s="29">
        <v>120077</v>
      </c>
      <c r="Q84" s="29"/>
      <c r="R84" s="29">
        <v>3049301.53</v>
      </c>
      <c r="S84" s="69"/>
      <c r="T84" s="29"/>
      <c r="U84" s="29">
        <v>3000</v>
      </c>
      <c r="V84" s="69"/>
    </row>
    <row r="85" spans="1:22" ht="119.25" customHeight="1" x14ac:dyDescent="0.8">
      <c r="A85" s="12" t="s">
        <v>172</v>
      </c>
      <c r="B85" s="13" t="s">
        <v>218</v>
      </c>
      <c r="C85" s="115"/>
      <c r="D85" s="69"/>
      <c r="E85" s="69"/>
      <c r="F85" s="69"/>
      <c r="G85" s="69"/>
      <c r="H85" s="69"/>
      <c r="I85" s="69"/>
      <c r="J85" s="69"/>
      <c r="K85" s="29">
        <v>107200</v>
      </c>
      <c r="L85" s="29">
        <v>107200</v>
      </c>
      <c r="M85" s="29"/>
      <c r="N85" s="29">
        <v>0</v>
      </c>
      <c r="O85" s="29">
        <v>0</v>
      </c>
      <c r="P85" s="29">
        <v>200326</v>
      </c>
      <c r="Q85" s="29"/>
      <c r="R85" s="29">
        <v>517988</v>
      </c>
      <c r="S85" s="69"/>
      <c r="T85" s="29"/>
      <c r="U85" s="29">
        <v>3700</v>
      </c>
      <c r="V85" s="69"/>
    </row>
    <row r="86" spans="1:22" ht="66.75" customHeight="1" x14ac:dyDescent="0.8">
      <c r="A86" s="12" t="s">
        <v>275</v>
      </c>
      <c r="B86" s="13" t="s">
        <v>276</v>
      </c>
      <c r="C86" s="115"/>
      <c r="D86" s="69"/>
      <c r="E86" s="69"/>
      <c r="F86" s="69"/>
      <c r="G86" s="69"/>
      <c r="H86" s="69"/>
      <c r="I86" s="69"/>
      <c r="J86" s="69"/>
      <c r="K86" s="29">
        <v>0</v>
      </c>
      <c r="L86" s="29"/>
      <c r="M86" s="29"/>
      <c r="N86" s="29">
        <v>0</v>
      </c>
      <c r="O86" s="29"/>
      <c r="P86" s="29">
        <v>436465</v>
      </c>
      <c r="Q86" s="29"/>
      <c r="R86" s="29">
        <v>512043</v>
      </c>
      <c r="S86" s="69"/>
      <c r="T86" s="29"/>
      <c r="U86" s="29">
        <v>18000</v>
      </c>
      <c r="V86" s="69"/>
    </row>
    <row r="87" spans="1:22" ht="63" customHeight="1" x14ac:dyDescent="0.8">
      <c r="A87" s="12" t="s">
        <v>170</v>
      </c>
      <c r="B87" s="13" t="s">
        <v>152</v>
      </c>
      <c r="C87" s="115">
        <v>1774000</v>
      </c>
      <c r="D87" s="69"/>
      <c r="E87" s="69"/>
      <c r="F87" s="69"/>
      <c r="G87" s="69"/>
      <c r="H87" s="69"/>
      <c r="I87" s="69"/>
      <c r="J87" s="69"/>
      <c r="K87" s="29">
        <v>1061615</v>
      </c>
      <c r="L87" s="29">
        <v>383800</v>
      </c>
      <c r="M87" s="29">
        <v>677815</v>
      </c>
      <c r="N87" s="29">
        <v>313684</v>
      </c>
      <c r="O87" s="29">
        <v>107584</v>
      </c>
      <c r="P87" s="29">
        <v>554633</v>
      </c>
      <c r="Q87" s="29">
        <v>418061</v>
      </c>
      <c r="R87" s="29">
        <v>17083458.590000004</v>
      </c>
      <c r="S87" s="69"/>
      <c r="T87" s="29"/>
      <c r="U87" s="29">
        <v>15800</v>
      </c>
      <c r="V87" s="69"/>
    </row>
    <row r="88" spans="1:22" ht="59.25" customHeight="1" x14ac:dyDescent="0.8">
      <c r="A88" s="12" t="s">
        <v>169</v>
      </c>
      <c r="B88" s="13" t="s">
        <v>151</v>
      </c>
      <c r="C88" s="115"/>
      <c r="D88" s="69"/>
      <c r="E88" s="69"/>
      <c r="F88" s="69"/>
      <c r="G88" s="69"/>
      <c r="H88" s="69"/>
      <c r="I88" s="69"/>
      <c r="J88" s="69"/>
      <c r="K88" s="29">
        <v>338907</v>
      </c>
      <c r="L88" s="29"/>
      <c r="M88" s="29">
        <v>338907</v>
      </c>
      <c r="N88" s="29">
        <v>44055</v>
      </c>
      <c r="O88" s="29">
        <v>44055</v>
      </c>
      <c r="P88" s="29">
        <v>153446</v>
      </c>
      <c r="Q88" s="29"/>
      <c r="R88" s="29">
        <v>681755</v>
      </c>
      <c r="S88" s="69">
        <v>250000</v>
      </c>
      <c r="T88" s="29"/>
      <c r="U88" s="29">
        <v>253300</v>
      </c>
      <c r="V88" s="69"/>
    </row>
    <row r="89" spans="1:22" ht="63" customHeight="1" x14ac:dyDescent="0.8">
      <c r="A89" s="12" t="s">
        <v>174</v>
      </c>
      <c r="B89" s="13" t="s">
        <v>226</v>
      </c>
      <c r="C89" s="115"/>
      <c r="D89" s="69"/>
      <c r="E89" s="69"/>
      <c r="F89" s="69"/>
      <c r="G89" s="69"/>
      <c r="H89" s="69"/>
      <c r="I89" s="69"/>
      <c r="J89" s="69"/>
      <c r="K89" s="29">
        <v>0</v>
      </c>
      <c r="L89" s="29"/>
      <c r="M89" s="29"/>
      <c r="N89" s="29">
        <v>0</v>
      </c>
      <c r="O89" s="29"/>
      <c r="P89" s="29">
        <v>169440</v>
      </c>
      <c r="Q89" s="29"/>
      <c r="R89" s="29">
        <v>1599787</v>
      </c>
      <c r="S89" s="69"/>
      <c r="T89" s="29"/>
      <c r="U89" s="29">
        <v>3900</v>
      </c>
      <c r="V89" s="69"/>
    </row>
    <row r="90" spans="1:22" ht="63" customHeight="1" x14ac:dyDescent="0.8">
      <c r="A90" s="12" t="s">
        <v>179</v>
      </c>
      <c r="B90" s="13" t="s">
        <v>157</v>
      </c>
      <c r="C90" s="115">
        <v>1000000</v>
      </c>
      <c r="D90" s="69"/>
      <c r="E90" s="69"/>
      <c r="F90" s="69"/>
      <c r="G90" s="69"/>
      <c r="H90" s="69"/>
      <c r="I90" s="69"/>
      <c r="J90" s="69"/>
      <c r="K90" s="29">
        <v>225938</v>
      </c>
      <c r="L90" s="29"/>
      <c r="M90" s="29">
        <v>225938</v>
      </c>
      <c r="N90" s="29">
        <v>204776</v>
      </c>
      <c r="O90" s="29">
        <v>204776</v>
      </c>
      <c r="P90" s="29">
        <v>350314</v>
      </c>
      <c r="Q90" s="29"/>
      <c r="R90" s="29">
        <v>5361721</v>
      </c>
      <c r="S90" s="69"/>
      <c r="T90" s="29"/>
      <c r="U90" s="29">
        <v>13800</v>
      </c>
      <c r="V90" s="69"/>
    </row>
    <row r="91" spans="1:22" ht="63" customHeight="1" x14ac:dyDescent="0.8">
      <c r="A91" s="12" t="s">
        <v>171</v>
      </c>
      <c r="B91" s="13" t="s">
        <v>153</v>
      </c>
      <c r="C91" s="115">
        <v>650000</v>
      </c>
      <c r="D91" s="69"/>
      <c r="E91" s="69"/>
      <c r="F91" s="69"/>
      <c r="G91" s="69"/>
      <c r="H91" s="69"/>
      <c r="I91" s="69"/>
      <c r="J91" s="69"/>
      <c r="K91" s="29">
        <v>338907</v>
      </c>
      <c r="L91" s="29"/>
      <c r="M91" s="29">
        <v>338907</v>
      </c>
      <c r="N91" s="29">
        <v>40609.4</v>
      </c>
      <c r="O91" s="29">
        <v>40609.4</v>
      </c>
      <c r="P91" s="29">
        <v>252189</v>
      </c>
      <c r="Q91" s="29"/>
      <c r="R91" s="29">
        <v>3887167.3999999994</v>
      </c>
      <c r="S91" s="69"/>
      <c r="T91" s="29"/>
      <c r="U91" s="29">
        <v>7700</v>
      </c>
      <c r="V91" s="69"/>
    </row>
    <row r="92" spans="1:22" ht="59.25" customHeight="1" x14ac:dyDescent="0.8">
      <c r="A92" s="12" t="s">
        <v>178</v>
      </c>
      <c r="B92" s="13" t="s">
        <v>156</v>
      </c>
      <c r="C92" s="115"/>
      <c r="D92" s="69"/>
      <c r="E92" s="69"/>
      <c r="F92" s="69"/>
      <c r="G92" s="69"/>
      <c r="H92" s="69"/>
      <c r="I92" s="69"/>
      <c r="J92" s="69"/>
      <c r="K92" s="29">
        <v>0</v>
      </c>
      <c r="L92" s="29"/>
      <c r="M92" s="29"/>
      <c r="N92" s="29">
        <v>0</v>
      </c>
      <c r="O92" s="29"/>
      <c r="P92" s="29">
        <v>114606</v>
      </c>
      <c r="Q92" s="29"/>
      <c r="R92" s="29">
        <v>4329837</v>
      </c>
      <c r="S92" s="69"/>
      <c r="T92" s="29"/>
      <c r="U92" s="29">
        <v>2800</v>
      </c>
      <c r="V92" s="69"/>
    </row>
    <row r="93" spans="1:22" ht="63" customHeight="1" x14ac:dyDescent="0.8">
      <c r="A93" s="12" t="s">
        <v>175</v>
      </c>
      <c r="B93" s="13" t="s">
        <v>257</v>
      </c>
      <c r="C93" s="115"/>
      <c r="D93" s="69"/>
      <c r="E93" s="69"/>
      <c r="F93" s="69"/>
      <c r="G93" s="69"/>
      <c r="H93" s="69"/>
      <c r="I93" s="69"/>
      <c r="J93" s="69"/>
      <c r="K93" s="29">
        <v>225938</v>
      </c>
      <c r="L93" s="29"/>
      <c r="M93" s="29">
        <v>225938</v>
      </c>
      <c r="N93" s="29">
        <v>294080</v>
      </c>
      <c r="O93" s="29">
        <v>88055</v>
      </c>
      <c r="P93" s="29">
        <v>318541</v>
      </c>
      <c r="Q93" s="29"/>
      <c r="R93" s="29">
        <v>8593300</v>
      </c>
      <c r="S93" s="69"/>
      <c r="T93" s="29"/>
      <c r="U93" s="29">
        <v>9400</v>
      </c>
      <c r="V93" s="69"/>
    </row>
    <row r="94" spans="1:22" ht="119.25" customHeight="1" x14ac:dyDescent="0.8">
      <c r="A94" s="12" t="s">
        <v>173</v>
      </c>
      <c r="B94" s="13" t="s">
        <v>219</v>
      </c>
      <c r="C94" s="115"/>
      <c r="D94" s="69"/>
      <c r="E94" s="69"/>
      <c r="F94" s="69"/>
      <c r="G94" s="69"/>
      <c r="H94" s="69"/>
      <c r="I94" s="69"/>
      <c r="J94" s="69"/>
      <c r="K94" s="29">
        <v>0</v>
      </c>
      <c r="L94" s="29"/>
      <c r="M94" s="29"/>
      <c r="N94" s="29">
        <v>0</v>
      </c>
      <c r="O94" s="29"/>
      <c r="P94" s="29">
        <v>201915</v>
      </c>
      <c r="Q94" s="29">
        <v>70000</v>
      </c>
      <c r="R94" s="29">
        <v>2381762</v>
      </c>
      <c r="S94" s="69"/>
      <c r="T94" s="29"/>
      <c r="U94" s="29">
        <v>7300</v>
      </c>
      <c r="V94" s="69"/>
    </row>
    <row r="95" spans="1:22" ht="59.25" customHeight="1" x14ac:dyDescent="0.8">
      <c r="A95" s="12" t="s">
        <v>166</v>
      </c>
      <c r="B95" s="13" t="s">
        <v>148</v>
      </c>
      <c r="C95" s="115"/>
      <c r="D95" s="69"/>
      <c r="E95" s="69"/>
      <c r="F95" s="69"/>
      <c r="G95" s="69"/>
      <c r="H95" s="69"/>
      <c r="I95" s="69"/>
      <c r="J95" s="69"/>
      <c r="K95" s="29">
        <v>0</v>
      </c>
      <c r="L95" s="29"/>
      <c r="M95" s="29"/>
      <c r="N95" s="29">
        <v>0</v>
      </c>
      <c r="O95" s="29"/>
      <c r="P95" s="29">
        <v>163605</v>
      </c>
      <c r="Q95" s="29"/>
      <c r="R95" s="29">
        <v>1268952</v>
      </c>
      <c r="S95" s="69"/>
      <c r="T95" s="29"/>
      <c r="U95" s="29">
        <v>3700</v>
      </c>
      <c r="V95" s="69"/>
    </row>
    <row r="96" spans="1:22" ht="55.5" customHeight="1" x14ac:dyDescent="0.8">
      <c r="A96" s="12" t="s">
        <v>176</v>
      </c>
      <c r="B96" s="13" t="s">
        <v>154</v>
      </c>
      <c r="C96" s="115"/>
      <c r="D96" s="69"/>
      <c r="E96" s="69"/>
      <c r="F96" s="69"/>
      <c r="G96" s="69"/>
      <c r="H96" s="69"/>
      <c r="I96" s="69"/>
      <c r="J96" s="69"/>
      <c r="K96" s="29">
        <v>225938</v>
      </c>
      <c r="L96" s="29"/>
      <c r="M96" s="29">
        <v>225938</v>
      </c>
      <c r="N96" s="29">
        <v>407261</v>
      </c>
      <c r="O96" s="29">
        <v>407261</v>
      </c>
      <c r="P96" s="29">
        <v>364741</v>
      </c>
      <c r="Q96" s="29"/>
      <c r="R96" s="29">
        <v>1738633</v>
      </c>
      <c r="S96" s="69">
        <v>150000</v>
      </c>
      <c r="T96" s="29"/>
      <c r="U96" s="29">
        <v>161600</v>
      </c>
      <c r="V96" s="69"/>
    </row>
    <row r="97" spans="1:22" ht="59.25" customHeight="1" x14ac:dyDescent="0.8">
      <c r="A97" s="12" t="s">
        <v>253</v>
      </c>
      <c r="B97" s="13" t="s">
        <v>330</v>
      </c>
      <c r="C97" s="115">
        <v>697900</v>
      </c>
      <c r="D97" s="69"/>
      <c r="E97" s="69"/>
      <c r="F97" s="69"/>
      <c r="G97" s="69"/>
      <c r="H97" s="69"/>
      <c r="I97" s="69"/>
      <c r="J97" s="69"/>
      <c r="K97" s="29">
        <v>225938</v>
      </c>
      <c r="L97" s="29"/>
      <c r="M97" s="29">
        <v>225938</v>
      </c>
      <c r="N97" s="29">
        <v>29902</v>
      </c>
      <c r="O97" s="29">
        <v>29902</v>
      </c>
      <c r="P97" s="29">
        <v>386409</v>
      </c>
      <c r="Q97" s="29">
        <v>46250</v>
      </c>
      <c r="R97" s="29">
        <v>3142073</v>
      </c>
      <c r="S97" s="69"/>
      <c r="T97" s="29"/>
      <c r="U97" s="29">
        <v>13200</v>
      </c>
      <c r="V97" s="69"/>
    </row>
    <row r="98" spans="1:22" ht="63" customHeight="1" x14ac:dyDescent="0.8">
      <c r="A98" s="12" t="s">
        <v>177</v>
      </c>
      <c r="B98" s="13" t="s">
        <v>155</v>
      </c>
      <c r="C98" s="115"/>
      <c r="D98" s="69"/>
      <c r="E98" s="69"/>
      <c r="F98" s="69"/>
      <c r="G98" s="69"/>
      <c r="H98" s="69"/>
      <c r="I98" s="69"/>
      <c r="J98" s="69"/>
      <c r="K98" s="29">
        <v>0</v>
      </c>
      <c r="L98" s="29"/>
      <c r="M98" s="29"/>
      <c r="N98" s="29">
        <v>0</v>
      </c>
      <c r="O98" s="29"/>
      <c r="P98" s="29">
        <v>239785</v>
      </c>
      <c r="Q98" s="29"/>
      <c r="R98" s="29">
        <v>1739997</v>
      </c>
      <c r="S98" s="69"/>
      <c r="T98" s="29"/>
      <c r="U98" s="29">
        <v>5300</v>
      </c>
      <c r="V98" s="69"/>
    </row>
    <row r="99" spans="1:22" ht="55.5" customHeight="1" x14ac:dyDescent="0.8">
      <c r="A99" s="12" t="s">
        <v>168</v>
      </c>
      <c r="B99" s="13" t="s">
        <v>150</v>
      </c>
      <c r="C99" s="115"/>
      <c r="D99" s="69"/>
      <c r="E99" s="69"/>
      <c r="F99" s="69"/>
      <c r="G99" s="69"/>
      <c r="H99" s="69"/>
      <c r="I99" s="69"/>
      <c r="J99" s="69"/>
      <c r="K99" s="29">
        <v>112969</v>
      </c>
      <c r="L99" s="29"/>
      <c r="M99" s="29">
        <v>112969</v>
      </c>
      <c r="N99" s="29">
        <v>22811</v>
      </c>
      <c r="O99" s="29">
        <v>22811</v>
      </c>
      <c r="P99" s="29">
        <v>124628</v>
      </c>
      <c r="Q99" s="29"/>
      <c r="R99" s="29">
        <v>558139</v>
      </c>
      <c r="S99" s="69"/>
      <c r="T99" s="29"/>
      <c r="U99" s="29">
        <v>3500</v>
      </c>
      <c r="V99" s="69"/>
    </row>
    <row r="100" spans="1:22" ht="63" customHeight="1" x14ac:dyDescent="0.8">
      <c r="A100" s="12" t="s">
        <v>167</v>
      </c>
      <c r="B100" s="13" t="s">
        <v>149</v>
      </c>
      <c r="C100" s="115"/>
      <c r="D100" s="69"/>
      <c r="E100" s="69"/>
      <c r="F100" s="69"/>
      <c r="G100" s="69"/>
      <c r="H100" s="69"/>
      <c r="I100" s="69"/>
      <c r="J100" s="69"/>
      <c r="K100" s="29">
        <v>0</v>
      </c>
      <c r="L100" s="29"/>
      <c r="M100" s="29"/>
      <c r="N100" s="29">
        <v>0</v>
      </c>
      <c r="O100" s="29"/>
      <c r="P100" s="29">
        <v>100225</v>
      </c>
      <c r="Q100" s="29"/>
      <c r="R100" s="29">
        <v>1724841</v>
      </c>
      <c r="S100" s="69">
        <v>2500000</v>
      </c>
      <c r="T100" s="29"/>
      <c r="U100" s="29">
        <v>2505100</v>
      </c>
      <c r="V100" s="69"/>
    </row>
    <row r="101" spans="1:22" ht="63" customHeight="1" x14ac:dyDescent="0.8">
      <c r="A101" s="12" t="s">
        <v>217</v>
      </c>
      <c r="B101" s="13" t="s">
        <v>158</v>
      </c>
      <c r="C101" s="115"/>
      <c r="D101" s="69"/>
      <c r="E101" s="69"/>
      <c r="F101" s="69"/>
      <c r="G101" s="69"/>
      <c r="H101" s="69"/>
      <c r="I101" s="69"/>
      <c r="J101" s="69"/>
      <c r="K101" s="29">
        <v>0</v>
      </c>
      <c r="L101" s="29"/>
      <c r="M101" s="29"/>
      <c r="N101" s="29">
        <v>0</v>
      </c>
      <c r="O101" s="29"/>
      <c r="P101" s="29">
        <v>489198</v>
      </c>
      <c r="Q101" s="29"/>
      <c r="R101" s="29">
        <v>1876848</v>
      </c>
      <c r="S101" s="69"/>
      <c r="T101" s="29"/>
      <c r="U101" s="29">
        <v>13500</v>
      </c>
      <c r="V101" s="69"/>
    </row>
    <row r="102" spans="1:22" ht="63" customHeight="1" x14ac:dyDescent="0.8">
      <c r="A102" s="12" t="s">
        <v>234</v>
      </c>
      <c r="B102" s="13" t="s">
        <v>235</v>
      </c>
      <c r="C102" s="115"/>
      <c r="D102" s="69"/>
      <c r="E102" s="69"/>
      <c r="F102" s="69"/>
      <c r="G102" s="69"/>
      <c r="H102" s="69"/>
      <c r="I102" s="69"/>
      <c r="J102" s="69"/>
      <c r="K102" s="29">
        <v>0</v>
      </c>
      <c r="L102" s="29"/>
      <c r="M102" s="29"/>
      <c r="N102" s="29">
        <v>0</v>
      </c>
      <c r="O102" s="29"/>
      <c r="P102" s="29">
        <v>183350</v>
      </c>
      <c r="Q102" s="29">
        <v>208299</v>
      </c>
      <c r="R102" s="29">
        <v>5843254</v>
      </c>
      <c r="S102" s="69"/>
      <c r="T102" s="29"/>
      <c r="U102" s="29">
        <v>5800</v>
      </c>
      <c r="V102" s="69"/>
    </row>
    <row r="103" spans="1:22" ht="59.25" x14ac:dyDescent="0.8">
      <c r="A103" s="12" t="s">
        <v>281</v>
      </c>
      <c r="B103" s="13" t="s">
        <v>279</v>
      </c>
      <c r="C103" s="115"/>
      <c r="D103" s="69"/>
      <c r="E103" s="69"/>
      <c r="F103" s="69"/>
      <c r="G103" s="69"/>
      <c r="H103" s="69"/>
      <c r="I103" s="69"/>
      <c r="J103" s="69"/>
      <c r="K103" s="29">
        <v>0</v>
      </c>
      <c r="L103" s="29"/>
      <c r="M103" s="29"/>
      <c r="N103" s="29">
        <v>0</v>
      </c>
      <c r="O103" s="29"/>
      <c r="P103" s="29">
        <v>71944</v>
      </c>
      <c r="Q103" s="29"/>
      <c r="R103" s="29">
        <v>112060</v>
      </c>
      <c r="S103" s="69"/>
      <c r="T103" s="29"/>
      <c r="U103" s="29">
        <v>3600</v>
      </c>
      <c r="V103" s="69"/>
    </row>
    <row r="104" spans="1:22" ht="63" customHeight="1" x14ac:dyDescent="0.8">
      <c r="A104" s="12" t="s">
        <v>181</v>
      </c>
      <c r="B104" s="13" t="s">
        <v>201</v>
      </c>
      <c r="C104" s="115"/>
      <c r="D104" s="69"/>
      <c r="E104" s="69"/>
      <c r="F104" s="69"/>
      <c r="G104" s="69"/>
      <c r="H104" s="69"/>
      <c r="I104" s="69"/>
      <c r="J104" s="69"/>
      <c r="K104" s="29">
        <v>0</v>
      </c>
      <c r="L104" s="29"/>
      <c r="M104" s="29"/>
      <c r="N104" s="29">
        <v>0</v>
      </c>
      <c r="O104" s="29"/>
      <c r="P104" s="29">
        <v>105208</v>
      </c>
      <c r="Q104" s="29"/>
      <c r="R104" s="29">
        <v>197939</v>
      </c>
      <c r="S104" s="69"/>
      <c r="T104" s="29"/>
      <c r="U104" s="29">
        <v>5600</v>
      </c>
      <c r="V104" s="69"/>
    </row>
    <row r="105" spans="1:22" ht="63" customHeight="1" x14ac:dyDescent="0.8">
      <c r="A105" s="12" t="s">
        <v>282</v>
      </c>
      <c r="B105" s="13" t="s">
        <v>280</v>
      </c>
      <c r="C105" s="115"/>
      <c r="D105" s="69"/>
      <c r="E105" s="69"/>
      <c r="F105" s="69"/>
      <c r="G105" s="69"/>
      <c r="H105" s="69"/>
      <c r="I105" s="69"/>
      <c r="J105" s="69"/>
      <c r="K105" s="29">
        <v>112969</v>
      </c>
      <c r="L105" s="29"/>
      <c r="M105" s="29">
        <v>112969</v>
      </c>
      <c r="N105" s="29">
        <v>0</v>
      </c>
      <c r="O105" s="29"/>
      <c r="P105" s="29">
        <v>271210</v>
      </c>
      <c r="Q105" s="29"/>
      <c r="R105" s="29">
        <v>4159757</v>
      </c>
      <c r="S105" s="69">
        <v>150000</v>
      </c>
      <c r="T105" s="29"/>
      <c r="U105" s="29">
        <v>156200</v>
      </c>
      <c r="V105" s="69"/>
    </row>
    <row r="106" spans="1:22" ht="63" customHeight="1" x14ac:dyDescent="0.8">
      <c r="A106" s="12" t="s">
        <v>182</v>
      </c>
      <c r="B106" s="13" t="s">
        <v>202</v>
      </c>
      <c r="C106" s="115">
        <v>250000</v>
      </c>
      <c r="D106" s="69"/>
      <c r="E106" s="69"/>
      <c r="F106" s="69"/>
      <c r="G106" s="69"/>
      <c r="H106" s="69"/>
      <c r="I106" s="69"/>
      <c r="J106" s="69"/>
      <c r="K106" s="29">
        <v>118200</v>
      </c>
      <c r="L106" s="29">
        <v>118200</v>
      </c>
      <c r="M106" s="29"/>
      <c r="N106" s="29">
        <v>0</v>
      </c>
      <c r="O106" s="29"/>
      <c r="P106" s="29">
        <v>207967</v>
      </c>
      <c r="Q106" s="29"/>
      <c r="R106" s="29">
        <v>1025779</v>
      </c>
      <c r="S106" s="69">
        <v>500000</v>
      </c>
      <c r="T106" s="29"/>
      <c r="U106" s="29">
        <v>504400</v>
      </c>
      <c r="V106" s="69"/>
    </row>
    <row r="107" spans="1:22" ht="63" customHeight="1" x14ac:dyDescent="0.8">
      <c r="A107" s="12" t="s">
        <v>337</v>
      </c>
      <c r="B107" s="13" t="s">
        <v>338</v>
      </c>
      <c r="C107" s="115"/>
      <c r="D107" s="69"/>
      <c r="E107" s="69"/>
      <c r="F107" s="69"/>
      <c r="G107" s="69"/>
      <c r="H107" s="69"/>
      <c r="I107" s="69"/>
      <c r="J107" s="69"/>
      <c r="K107" s="29">
        <v>0</v>
      </c>
      <c r="L107" s="29"/>
      <c r="M107" s="29"/>
      <c r="N107" s="29"/>
      <c r="O107" s="29"/>
      <c r="P107" s="29"/>
      <c r="Q107" s="29"/>
      <c r="R107" s="29">
        <v>0</v>
      </c>
      <c r="S107" s="69"/>
      <c r="T107" s="29"/>
      <c r="U107" s="29">
        <v>0</v>
      </c>
      <c r="V107" s="69"/>
    </row>
    <row r="108" spans="1:22" ht="63" customHeight="1" x14ac:dyDescent="0.8">
      <c r="A108" s="12"/>
      <c r="B108" s="13" t="s">
        <v>50</v>
      </c>
      <c r="C108" s="115">
        <v>5371900</v>
      </c>
      <c r="D108" s="69">
        <v>0</v>
      </c>
      <c r="E108" s="69">
        <v>0</v>
      </c>
      <c r="F108" s="69">
        <v>0</v>
      </c>
      <c r="G108" s="69">
        <v>0</v>
      </c>
      <c r="H108" s="69">
        <v>0</v>
      </c>
      <c r="I108" s="69">
        <v>0</v>
      </c>
      <c r="J108" s="69">
        <v>0</v>
      </c>
      <c r="K108" s="69">
        <v>7145227</v>
      </c>
      <c r="L108" s="69">
        <v>1044900</v>
      </c>
      <c r="M108" s="69">
        <v>6100327</v>
      </c>
      <c r="N108" s="69">
        <v>3721332.9899999998</v>
      </c>
      <c r="O108" s="69">
        <v>1866507.99</v>
      </c>
      <c r="P108" s="69">
        <v>14496327</v>
      </c>
      <c r="Q108" s="69">
        <v>5009189.22</v>
      </c>
      <c r="R108" s="29">
        <v>213653997.55000001</v>
      </c>
      <c r="S108" s="69">
        <v>16210495</v>
      </c>
      <c r="T108" s="69">
        <v>1500000</v>
      </c>
      <c r="U108" s="69">
        <v>124740994</v>
      </c>
      <c r="V108" s="69">
        <f>V51+V52+V53+V54+V56+V57+V58+V59+V60+V61+V62+V63+V64+V101+V67+V68+V69+V71+V74+V77+V79+V80+V81+V82+V83+V84+V85+V87+V88+V89+V90+V91+V92+V93+V94+V95+V96+V98+V99+V100+V104+V106+V65+V78+V76+V70</f>
        <v>0</v>
      </c>
    </row>
    <row r="109" spans="1:22" ht="59.25" customHeight="1" x14ac:dyDescent="0.8">
      <c r="A109" s="12" t="s">
        <v>214</v>
      </c>
      <c r="B109" s="13" t="s">
        <v>215</v>
      </c>
      <c r="C109" s="115"/>
      <c r="D109" s="69"/>
      <c r="E109" s="69"/>
      <c r="F109" s="69"/>
      <c r="G109" s="69"/>
      <c r="H109" s="69"/>
      <c r="I109" s="69"/>
      <c r="J109" s="69"/>
      <c r="K109" s="29">
        <v>0</v>
      </c>
      <c r="L109" s="29"/>
      <c r="M109" s="29"/>
      <c r="N109" s="29">
        <v>0</v>
      </c>
      <c r="O109" s="29"/>
      <c r="P109" s="29">
        <v>0</v>
      </c>
      <c r="Q109" s="29"/>
      <c r="R109" s="29">
        <v>0</v>
      </c>
      <c r="S109" s="69"/>
      <c r="T109" s="29"/>
      <c r="U109" s="29">
        <v>6399600</v>
      </c>
      <c r="V109" s="69"/>
    </row>
    <row r="110" spans="1:22" ht="59.25" customHeight="1" x14ac:dyDescent="0.8">
      <c r="A110" s="12" t="s">
        <v>223</v>
      </c>
      <c r="B110" s="13" t="s">
        <v>224</v>
      </c>
      <c r="C110" s="115"/>
      <c r="D110" s="69"/>
      <c r="E110" s="69"/>
      <c r="F110" s="69"/>
      <c r="G110" s="69"/>
      <c r="H110" s="69"/>
      <c r="I110" s="69"/>
      <c r="J110" s="69"/>
      <c r="K110" s="29">
        <v>0</v>
      </c>
      <c r="L110" s="29"/>
      <c r="M110" s="29"/>
      <c r="N110" s="29">
        <v>0</v>
      </c>
      <c r="O110" s="29"/>
      <c r="P110" s="29">
        <v>0</v>
      </c>
      <c r="Q110" s="29"/>
      <c r="R110" s="29">
        <v>0</v>
      </c>
      <c r="S110" s="69"/>
      <c r="T110" s="29"/>
      <c r="U110" s="29">
        <v>250000</v>
      </c>
      <c r="V110" s="69"/>
    </row>
    <row r="111" spans="1:22" s="14" customFormat="1" ht="59.25" customHeight="1" x14ac:dyDescent="0.8">
      <c r="A111" s="12" t="s">
        <v>9</v>
      </c>
      <c r="B111" s="13" t="s">
        <v>10</v>
      </c>
      <c r="C111" s="115"/>
      <c r="D111" s="69"/>
      <c r="E111" s="69"/>
      <c r="F111" s="69"/>
      <c r="G111" s="69"/>
      <c r="H111" s="69"/>
      <c r="I111" s="69"/>
      <c r="J111" s="69"/>
      <c r="K111" s="29">
        <v>0</v>
      </c>
      <c r="L111" s="29"/>
      <c r="M111" s="29"/>
      <c r="N111" s="29">
        <v>0</v>
      </c>
      <c r="O111" s="29">
        <v>0</v>
      </c>
      <c r="P111" s="29">
        <v>0</v>
      </c>
      <c r="Q111" s="29"/>
      <c r="R111" s="29">
        <v>34995.949999998556</v>
      </c>
      <c r="S111" s="69"/>
      <c r="T111" s="29"/>
      <c r="U111" s="29">
        <v>0</v>
      </c>
      <c r="V111" s="69"/>
    </row>
    <row r="112" spans="1:22" s="14" customFormat="1" ht="55.5" customHeight="1" x14ac:dyDescent="0.8">
      <c r="A112" s="12"/>
      <c r="B112" s="13" t="s">
        <v>11</v>
      </c>
      <c r="C112" s="115"/>
      <c r="D112" s="69"/>
      <c r="E112" s="69"/>
      <c r="F112" s="69"/>
      <c r="G112" s="69"/>
      <c r="H112" s="69"/>
      <c r="I112" s="69"/>
      <c r="J112" s="69"/>
      <c r="K112" s="29">
        <v>0</v>
      </c>
      <c r="L112" s="29"/>
      <c r="M112" s="29"/>
      <c r="N112" s="29">
        <v>0</v>
      </c>
      <c r="O112" s="29"/>
      <c r="P112" s="29">
        <v>0</v>
      </c>
      <c r="Q112" s="29"/>
      <c r="R112" s="29">
        <v>525418117.35000002</v>
      </c>
      <c r="S112" s="69"/>
      <c r="T112" s="29"/>
      <c r="U112" s="29">
        <v>0</v>
      </c>
      <c r="V112" s="69"/>
    </row>
    <row r="113" spans="1:22" s="15" customFormat="1" ht="59.25" customHeight="1" x14ac:dyDescent="0.8">
      <c r="A113" s="12"/>
      <c r="B113" s="13" t="s">
        <v>161</v>
      </c>
      <c r="C113" s="115">
        <v>5371900</v>
      </c>
      <c r="D113" s="28">
        <v>3654226100</v>
      </c>
      <c r="E113" s="28">
        <v>5353127500</v>
      </c>
      <c r="F113" s="28">
        <v>52032100</v>
      </c>
      <c r="G113" s="28">
        <v>105797700</v>
      </c>
      <c r="H113" s="28">
        <v>26377198</v>
      </c>
      <c r="I113" s="28">
        <v>3001184</v>
      </c>
      <c r="J113" s="28">
        <v>4365569</v>
      </c>
      <c r="K113" s="30">
        <v>26146500</v>
      </c>
      <c r="L113" s="30">
        <v>1293300</v>
      </c>
      <c r="M113" s="30">
        <v>24853200</v>
      </c>
      <c r="N113" s="30">
        <v>26027500</v>
      </c>
      <c r="O113" s="30">
        <v>19226500.000000004</v>
      </c>
      <c r="P113" s="29">
        <v>72773859</v>
      </c>
      <c r="Q113" s="29">
        <v>91648400</v>
      </c>
      <c r="R113" s="29">
        <v>10802521498.269999</v>
      </c>
      <c r="S113" s="28">
        <v>45864495</v>
      </c>
      <c r="T113" s="28">
        <v>9500000</v>
      </c>
      <c r="U113" s="69">
        <v>220112030</v>
      </c>
      <c r="V113" s="28">
        <f>V26+V49+V111+V112+V108</f>
        <v>0</v>
      </c>
    </row>
    <row r="114" spans="1:22" s="20" customFormat="1" ht="310.5" customHeight="1" x14ac:dyDescent="1.05">
      <c r="A114" s="220" t="s">
        <v>344</v>
      </c>
      <c r="B114" s="220"/>
      <c r="C114" s="54"/>
      <c r="D114" s="102"/>
      <c r="E114" s="102"/>
      <c r="F114" s="102"/>
      <c r="G114" s="18"/>
      <c r="H114" s="18"/>
      <c r="I114" s="18"/>
      <c r="J114" s="72"/>
      <c r="K114" s="72"/>
      <c r="L114" s="72"/>
      <c r="M114" s="72"/>
      <c r="N114" s="72"/>
      <c r="O114" s="72"/>
      <c r="P114" s="72"/>
      <c r="Q114" s="72"/>
      <c r="R114" s="78"/>
      <c r="S114" s="220"/>
      <c r="T114" s="220"/>
    </row>
    <row r="115" spans="1:22" s="23" customFormat="1" ht="78" customHeight="1" x14ac:dyDescent="1.05">
      <c r="A115" s="220" t="s">
        <v>363</v>
      </c>
      <c r="B115" s="220"/>
      <c r="C115" s="55"/>
      <c r="D115" s="102"/>
      <c r="E115" s="102"/>
      <c r="F115" s="102"/>
      <c r="J115" s="27"/>
      <c r="K115" s="27"/>
      <c r="L115" s="27"/>
      <c r="M115" s="27"/>
      <c r="N115" s="27"/>
      <c r="O115" s="27"/>
      <c r="P115" s="27"/>
      <c r="Q115" s="27"/>
      <c r="R115" s="75"/>
      <c r="S115" s="220"/>
      <c r="T115" s="220"/>
      <c r="U115" s="27" t="s">
        <v>362</v>
      </c>
      <c r="V115" s="27"/>
    </row>
    <row r="116" spans="1:22" ht="57" x14ac:dyDescent="0.2">
      <c r="D116" s="101"/>
      <c r="E116" s="101"/>
      <c r="F116" s="101"/>
      <c r="G116" s="25"/>
      <c r="H116" s="25"/>
      <c r="I116" s="25"/>
      <c r="J116" s="25"/>
      <c r="K116" s="25"/>
      <c r="L116" s="25"/>
      <c r="M116" s="25"/>
      <c r="N116" s="25"/>
      <c r="O116" s="25"/>
      <c r="P116" s="25"/>
      <c r="Q116" s="25"/>
    </row>
    <row r="117" spans="1:22" ht="57" x14ac:dyDescent="0.2">
      <c r="D117" s="101"/>
      <c r="E117" s="101"/>
      <c r="F117" s="101"/>
      <c r="G117" s="25"/>
      <c r="H117" s="25"/>
      <c r="I117" s="25"/>
      <c r="J117" s="25"/>
      <c r="K117" s="25"/>
      <c r="L117" s="25"/>
      <c r="M117" s="25"/>
      <c r="N117" s="25"/>
      <c r="O117" s="25"/>
      <c r="P117" s="25"/>
      <c r="Q117" s="25"/>
    </row>
    <row r="118" spans="1:22" ht="57" x14ac:dyDescent="0.2">
      <c r="D118" s="101"/>
      <c r="E118" s="101"/>
      <c r="F118" s="101"/>
      <c r="G118" s="25"/>
      <c r="H118" s="25"/>
      <c r="I118" s="25"/>
      <c r="J118" s="25"/>
      <c r="K118" s="25"/>
      <c r="L118" s="25"/>
      <c r="M118" s="25"/>
      <c r="N118" s="25"/>
      <c r="O118" s="25"/>
      <c r="P118" s="25"/>
      <c r="Q118" s="25"/>
    </row>
    <row r="119" spans="1:22" ht="57" x14ac:dyDescent="0.2">
      <c r="D119" s="101"/>
      <c r="E119" s="101"/>
      <c r="F119" s="101"/>
      <c r="G119" s="25"/>
      <c r="H119" s="25"/>
      <c r="I119" s="25"/>
      <c r="J119" s="25"/>
      <c r="K119" s="25"/>
      <c r="L119" s="25"/>
      <c r="M119" s="25"/>
      <c r="N119" s="25"/>
      <c r="O119" s="25"/>
      <c r="P119" s="25"/>
      <c r="Q119" s="25"/>
    </row>
    <row r="120" spans="1:22" ht="57" x14ac:dyDescent="0.2">
      <c r="D120" s="101"/>
      <c r="E120" s="101"/>
      <c r="F120" s="101"/>
      <c r="G120" s="25"/>
      <c r="H120" s="25"/>
      <c r="I120" s="25"/>
      <c r="J120" s="25"/>
      <c r="K120" s="25"/>
      <c r="L120" s="25"/>
      <c r="M120" s="25"/>
      <c r="N120" s="25"/>
      <c r="O120" s="25"/>
      <c r="P120" s="25"/>
      <c r="Q120" s="25"/>
    </row>
    <row r="121" spans="1:22" ht="57" x14ac:dyDescent="0.2">
      <c r="D121" s="101"/>
      <c r="E121" s="101"/>
      <c r="F121" s="101"/>
      <c r="G121" s="25"/>
      <c r="H121" s="25"/>
      <c r="I121" s="25"/>
      <c r="J121" s="25"/>
      <c r="K121" s="25"/>
      <c r="L121" s="25"/>
      <c r="M121" s="25"/>
      <c r="N121" s="25"/>
      <c r="O121" s="25"/>
      <c r="P121" s="25"/>
      <c r="Q121" s="25"/>
    </row>
    <row r="122" spans="1:22" ht="57" x14ac:dyDescent="0.2">
      <c r="D122" s="101"/>
      <c r="E122" s="101"/>
      <c r="F122" s="101"/>
      <c r="G122" s="25"/>
      <c r="H122" s="25"/>
      <c r="I122" s="25"/>
      <c r="J122" s="25"/>
      <c r="K122" s="25"/>
      <c r="L122" s="25"/>
      <c r="M122" s="25"/>
      <c r="N122" s="25"/>
      <c r="O122" s="25"/>
      <c r="P122" s="25"/>
      <c r="Q122" s="25"/>
    </row>
    <row r="123" spans="1:22" ht="57" x14ac:dyDescent="0.2">
      <c r="D123" s="101"/>
      <c r="E123" s="101"/>
      <c r="F123" s="101"/>
      <c r="G123" s="25"/>
      <c r="H123" s="25"/>
      <c r="I123" s="25"/>
      <c r="J123" s="25"/>
      <c r="K123" s="25"/>
      <c r="L123" s="25"/>
      <c r="M123" s="25"/>
      <c r="N123" s="25"/>
      <c r="O123" s="25"/>
      <c r="P123" s="25"/>
      <c r="Q123" s="25"/>
    </row>
    <row r="124" spans="1:22" ht="57" x14ac:dyDescent="0.2">
      <c r="D124" s="101"/>
      <c r="E124" s="101"/>
      <c r="F124" s="101"/>
      <c r="G124" s="25"/>
      <c r="H124" s="25"/>
      <c r="I124" s="25"/>
      <c r="J124" s="25"/>
      <c r="K124" s="25"/>
      <c r="L124" s="25"/>
      <c r="M124" s="25"/>
      <c r="N124" s="25"/>
      <c r="O124" s="25"/>
      <c r="P124" s="25"/>
      <c r="Q124" s="25"/>
    </row>
    <row r="125" spans="1:22" ht="57" x14ac:dyDescent="0.2">
      <c r="D125" s="101"/>
      <c r="E125" s="101"/>
      <c r="F125" s="101"/>
      <c r="G125" s="25"/>
      <c r="H125" s="25"/>
      <c r="I125" s="25"/>
      <c r="J125" s="25"/>
      <c r="K125" s="25"/>
      <c r="L125" s="25"/>
      <c r="M125" s="25"/>
      <c r="N125" s="25"/>
      <c r="O125" s="25"/>
      <c r="P125" s="25"/>
      <c r="Q125" s="25"/>
    </row>
    <row r="126" spans="1:22" ht="57" x14ac:dyDescent="0.2">
      <c r="D126" s="101"/>
      <c r="E126" s="101"/>
      <c r="F126" s="101"/>
      <c r="G126" s="25"/>
      <c r="H126" s="25"/>
      <c r="I126" s="25"/>
      <c r="J126" s="25"/>
      <c r="K126" s="25"/>
      <c r="L126" s="25"/>
      <c r="M126" s="25"/>
      <c r="N126" s="25"/>
      <c r="O126" s="25"/>
      <c r="P126" s="25"/>
      <c r="Q126" s="25"/>
    </row>
    <row r="127" spans="1:22" ht="57" x14ac:dyDescent="0.2">
      <c r="D127" s="101"/>
      <c r="E127" s="101"/>
      <c r="F127" s="101"/>
      <c r="G127" s="25"/>
      <c r="H127" s="25"/>
      <c r="I127" s="25"/>
      <c r="J127" s="25"/>
      <c r="K127" s="25"/>
      <c r="L127" s="25"/>
      <c r="M127" s="25"/>
      <c r="N127" s="25"/>
      <c r="O127" s="25"/>
      <c r="P127" s="25"/>
      <c r="Q127" s="25"/>
    </row>
    <row r="128" spans="1:22" ht="57" x14ac:dyDescent="0.2">
      <c r="D128" s="101"/>
      <c r="E128" s="101"/>
      <c r="F128" s="101"/>
      <c r="G128" s="25"/>
      <c r="H128" s="25"/>
      <c r="I128" s="25"/>
      <c r="J128" s="25"/>
      <c r="K128" s="25"/>
      <c r="L128" s="25"/>
      <c r="M128" s="25"/>
      <c r="N128" s="25"/>
      <c r="O128" s="25"/>
      <c r="P128" s="25"/>
      <c r="Q128" s="25"/>
    </row>
    <row r="129" spans="4:17" ht="57" x14ac:dyDescent="0.2">
      <c r="D129" s="101"/>
      <c r="E129" s="101"/>
      <c r="F129" s="101"/>
      <c r="G129" s="25"/>
      <c r="H129" s="25"/>
      <c r="I129" s="25"/>
      <c r="J129" s="25"/>
      <c r="K129" s="25"/>
      <c r="L129" s="25"/>
      <c r="M129" s="25"/>
      <c r="N129" s="25"/>
      <c r="O129" s="25"/>
      <c r="P129" s="25"/>
      <c r="Q129" s="25"/>
    </row>
    <row r="130" spans="4:17" ht="57" x14ac:dyDescent="0.2">
      <c r="D130" s="101"/>
      <c r="E130" s="101"/>
      <c r="F130" s="101"/>
      <c r="G130" s="25"/>
      <c r="H130" s="25"/>
      <c r="I130" s="25"/>
      <c r="J130" s="25"/>
      <c r="K130" s="25"/>
      <c r="L130" s="25"/>
      <c r="M130" s="25"/>
      <c r="N130" s="25"/>
      <c r="O130" s="25"/>
      <c r="P130" s="25"/>
      <c r="Q130" s="25"/>
    </row>
    <row r="131" spans="4:17" ht="57" x14ac:dyDescent="0.2">
      <c r="D131" s="101"/>
      <c r="E131" s="101"/>
      <c r="F131" s="101"/>
      <c r="G131" s="25"/>
      <c r="H131" s="25"/>
      <c r="I131" s="25"/>
      <c r="J131" s="25"/>
      <c r="K131" s="25"/>
      <c r="L131" s="25"/>
      <c r="M131" s="25"/>
      <c r="N131" s="25"/>
      <c r="O131" s="25"/>
      <c r="P131" s="25"/>
      <c r="Q131" s="25"/>
    </row>
    <row r="132" spans="4:17" ht="57" x14ac:dyDescent="0.2">
      <c r="D132" s="101"/>
      <c r="E132" s="101"/>
      <c r="F132" s="101"/>
      <c r="G132" s="25"/>
      <c r="H132" s="25"/>
      <c r="I132" s="25"/>
      <c r="J132" s="25"/>
      <c r="K132" s="25"/>
      <c r="L132" s="25"/>
      <c r="M132" s="25"/>
      <c r="N132" s="25"/>
      <c r="O132" s="25"/>
      <c r="P132" s="25"/>
      <c r="Q132" s="25"/>
    </row>
    <row r="133" spans="4:17" ht="57" x14ac:dyDescent="0.2">
      <c r="D133" s="101"/>
      <c r="E133" s="101"/>
      <c r="F133" s="101"/>
      <c r="G133" s="25"/>
      <c r="H133" s="25"/>
      <c r="I133" s="25"/>
      <c r="J133" s="25"/>
      <c r="K133" s="25"/>
      <c r="L133" s="25"/>
      <c r="M133" s="25"/>
      <c r="N133" s="25"/>
      <c r="O133" s="25"/>
      <c r="P133" s="25"/>
      <c r="Q133" s="25"/>
    </row>
    <row r="134" spans="4:17" ht="57" x14ac:dyDescent="0.2">
      <c r="D134" s="101"/>
      <c r="E134" s="101"/>
      <c r="F134" s="101"/>
      <c r="G134" s="25"/>
      <c r="H134" s="25"/>
      <c r="I134" s="25"/>
      <c r="J134" s="25"/>
      <c r="K134" s="25"/>
      <c r="L134" s="25"/>
      <c r="M134" s="25"/>
      <c r="N134" s="25"/>
      <c r="O134" s="25"/>
      <c r="P134" s="25"/>
      <c r="Q134" s="25"/>
    </row>
    <row r="135" spans="4:17" ht="57" x14ac:dyDescent="0.2">
      <c r="D135" s="101"/>
      <c r="E135" s="101"/>
      <c r="F135" s="101"/>
      <c r="G135" s="25"/>
      <c r="H135" s="25"/>
      <c r="I135" s="25"/>
      <c r="J135" s="25"/>
      <c r="K135" s="25"/>
      <c r="L135" s="25"/>
      <c r="M135" s="25"/>
      <c r="N135" s="25"/>
      <c r="O135" s="25"/>
      <c r="P135" s="25"/>
      <c r="Q135" s="25"/>
    </row>
    <row r="136" spans="4:17" ht="57" x14ac:dyDescent="0.2">
      <c r="D136" s="101"/>
      <c r="E136" s="101"/>
      <c r="F136" s="101"/>
      <c r="G136" s="25"/>
      <c r="H136" s="25"/>
      <c r="I136" s="25"/>
      <c r="J136" s="25"/>
      <c r="K136" s="25"/>
      <c r="L136" s="25"/>
      <c r="M136" s="25"/>
      <c r="N136" s="25"/>
      <c r="O136" s="25"/>
      <c r="P136" s="25"/>
      <c r="Q136" s="25"/>
    </row>
    <row r="137" spans="4:17" ht="57" x14ac:dyDescent="0.2">
      <c r="D137" s="101"/>
      <c r="E137" s="101"/>
      <c r="F137" s="101"/>
      <c r="G137" s="25"/>
      <c r="H137" s="25"/>
      <c r="I137" s="25"/>
      <c r="J137" s="25"/>
      <c r="K137" s="25"/>
      <c r="L137" s="25"/>
      <c r="M137" s="25"/>
      <c r="N137" s="25"/>
      <c r="O137" s="25"/>
      <c r="P137" s="25"/>
      <c r="Q137" s="25"/>
    </row>
    <row r="138" spans="4:17" ht="57" x14ac:dyDescent="0.2">
      <c r="D138" s="101"/>
      <c r="E138" s="101"/>
      <c r="F138" s="101"/>
      <c r="G138" s="25"/>
      <c r="H138" s="25"/>
      <c r="I138" s="25"/>
      <c r="J138" s="25"/>
      <c r="K138" s="25"/>
      <c r="L138" s="25"/>
      <c r="M138" s="25"/>
      <c r="N138" s="25"/>
      <c r="O138" s="25"/>
      <c r="P138" s="25"/>
      <c r="Q138" s="25"/>
    </row>
    <row r="139" spans="4:17" ht="57" x14ac:dyDescent="0.2">
      <c r="D139" s="101"/>
      <c r="E139" s="101"/>
      <c r="F139" s="101"/>
      <c r="G139" s="25"/>
      <c r="H139" s="25"/>
      <c r="I139" s="25"/>
      <c r="J139" s="25"/>
      <c r="K139" s="25"/>
      <c r="L139" s="25"/>
      <c r="M139" s="25"/>
      <c r="N139" s="25"/>
      <c r="O139" s="25"/>
      <c r="P139" s="25"/>
      <c r="Q139" s="25"/>
    </row>
    <row r="140" spans="4:17" ht="57" x14ac:dyDescent="0.2">
      <c r="D140" s="101"/>
      <c r="E140" s="101"/>
      <c r="F140" s="101"/>
      <c r="G140" s="25"/>
      <c r="H140" s="25"/>
      <c r="I140" s="25"/>
      <c r="J140" s="25"/>
      <c r="K140" s="25"/>
      <c r="L140" s="25"/>
      <c r="M140" s="25"/>
      <c r="N140" s="25"/>
      <c r="O140" s="25"/>
      <c r="P140" s="25"/>
      <c r="Q140" s="25"/>
    </row>
    <row r="141" spans="4:17" ht="57" x14ac:dyDescent="0.2">
      <c r="D141" s="101"/>
      <c r="E141" s="101"/>
      <c r="F141" s="101"/>
      <c r="G141" s="25"/>
      <c r="H141" s="25"/>
      <c r="I141" s="25"/>
      <c r="J141" s="25"/>
      <c r="K141" s="25"/>
      <c r="L141" s="25"/>
      <c r="M141" s="25"/>
      <c r="N141" s="25"/>
      <c r="O141" s="25"/>
      <c r="P141" s="25"/>
      <c r="Q141" s="25"/>
    </row>
    <row r="142" spans="4:17" ht="57" x14ac:dyDescent="0.2">
      <c r="D142" s="101"/>
      <c r="E142" s="101"/>
      <c r="F142" s="101"/>
      <c r="G142" s="25"/>
      <c r="H142" s="25"/>
      <c r="I142" s="25"/>
      <c r="J142" s="25"/>
      <c r="K142" s="25"/>
      <c r="L142" s="25"/>
      <c r="M142" s="25"/>
      <c r="N142" s="25"/>
      <c r="O142" s="25"/>
      <c r="P142" s="25"/>
      <c r="Q142" s="25"/>
    </row>
    <row r="143" spans="4:17" ht="57" x14ac:dyDescent="0.2">
      <c r="D143" s="101"/>
      <c r="E143" s="101"/>
      <c r="F143" s="101"/>
      <c r="G143" s="25"/>
      <c r="H143" s="25"/>
      <c r="I143" s="25"/>
      <c r="J143" s="25"/>
      <c r="K143" s="25"/>
      <c r="L143" s="25"/>
      <c r="M143" s="25"/>
      <c r="N143" s="25"/>
      <c r="O143" s="25"/>
      <c r="P143" s="25"/>
      <c r="Q143" s="25"/>
    </row>
    <row r="144" spans="4:17" ht="57" x14ac:dyDescent="0.2">
      <c r="D144" s="101"/>
      <c r="E144" s="101"/>
      <c r="F144" s="101"/>
      <c r="G144" s="25"/>
      <c r="H144" s="25"/>
      <c r="I144" s="25"/>
      <c r="J144" s="25"/>
      <c r="K144" s="25"/>
      <c r="L144" s="25"/>
      <c r="M144" s="25"/>
      <c r="N144" s="25"/>
      <c r="O144" s="25"/>
      <c r="P144" s="25"/>
      <c r="Q144" s="25"/>
    </row>
    <row r="145" spans="4:17" ht="57" x14ac:dyDescent="0.2">
      <c r="D145" s="101"/>
      <c r="E145" s="101"/>
      <c r="F145" s="101"/>
      <c r="G145" s="25"/>
      <c r="H145" s="25"/>
      <c r="I145" s="25"/>
      <c r="J145" s="25"/>
      <c r="K145" s="25"/>
      <c r="L145" s="25"/>
      <c r="M145" s="25"/>
      <c r="N145" s="25"/>
      <c r="O145" s="25"/>
      <c r="P145" s="25"/>
      <c r="Q145" s="25"/>
    </row>
    <row r="146" spans="4:17" ht="57" x14ac:dyDescent="0.2">
      <c r="D146" s="101"/>
      <c r="E146" s="101"/>
      <c r="F146" s="101"/>
      <c r="G146" s="25"/>
      <c r="H146" s="25"/>
      <c r="I146" s="25"/>
      <c r="J146" s="25"/>
      <c r="K146" s="25"/>
      <c r="L146" s="25"/>
      <c r="M146" s="25"/>
      <c r="N146" s="25"/>
      <c r="O146" s="25"/>
      <c r="P146" s="25"/>
      <c r="Q146" s="25"/>
    </row>
    <row r="147" spans="4:17" ht="57" x14ac:dyDescent="0.2">
      <c r="D147" s="101"/>
      <c r="E147" s="101"/>
      <c r="F147" s="101"/>
      <c r="G147" s="25"/>
      <c r="H147" s="25"/>
      <c r="I147" s="25"/>
      <c r="J147" s="25"/>
      <c r="K147" s="25"/>
      <c r="L147" s="25"/>
      <c r="M147" s="25"/>
      <c r="N147" s="25"/>
      <c r="O147" s="25"/>
      <c r="P147" s="25"/>
      <c r="Q147" s="25"/>
    </row>
    <row r="148" spans="4:17" ht="57" x14ac:dyDescent="0.2">
      <c r="D148" s="101"/>
      <c r="E148" s="101"/>
      <c r="F148" s="101"/>
      <c r="G148" s="25"/>
      <c r="H148" s="25"/>
      <c r="I148" s="25"/>
      <c r="J148" s="25"/>
      <c r="K148" s="25"/>
      <c r="L148" s="25"/>
      <c r="M148" s="25"/>
      <c r="N148" s="25"/>
      <c r="O148" s="25"/>
      <c r="P148" s="25"/>
      <c r="Q148" s="25"/>
    </row>
    <row r="149" spans="4:17" ht="57" x14ac:dyDescent="0.2">
      <c r="D149" s="101"/>
      <c r="E149" s="101"/>
      <c r="F149" s="101"/>
      <c r="G149" s="25"/>
      <c r="H149" s="25"/>
      <c r="I149" s="25"/>
      <c r="J149" s="25"/>
      <c r="K149" s="25"/>
      <c r="L149" s="25"/>
      <c r="M149" s="25"/>
      <c r="N149" s="25"/>
      <c r="O149" s="25"/>
      <c r="P149" s="25"/>
      <c r="Q149" s="25"/>
    </row>
    <row r="150" spans="4:17" ht="57" x14ac:dyDescent="0.2">
      <c r="D150" s="101"/>
      <c r="E150" s="101"/>
      <c r="F150" s="101"/>
      <c r="G150" s="25"/>
      <c r="H150" s="25"/>
      <c r="I150" s="25"/>
      <c r="J150" s="25"/>
      <c r="K150" s="25"/>
      <c r="L150" s="25"/>
      <c r="M150" s="25"/>
      <c r="N150" s="25"/>
      <c r="O150" s="25"/>
      <c r="P150" s="25"/>
      <c r="Q150" s="25"/>
    </row>
    <row r="151" spans="4:17" ht="57" x14ac:dyDescent="0.2">
      <c r="D151" s="101"/>
      <c r="E151" s="101"/>
      <c r="F151" s="101"/>
      <c r="G151" s="25"/>
      <c r="H151" s="25"/>
      <c r="I151" s="25"/>
      <c r="J151" s="25"/>
      <c r="K151" s="25"/>
      <c r="L151" s="25"/>
      <c r="M151" s="25"/>
      <c r="N151" s="25"/>
      <c r="O151" s="25"/>
      <c r="P151" s="25"/>
      <c r="Q151" s="25"/>
    </row>
    <row r="152" spans="4:17" ht="57" x14ac:dyDescent="0.2">
      <c r="D152" s="101"/>
      <c r="E152" s="101"/>
      <c r="F152" s="101"/>
      <c r="G152" s="25"/>
      <c r="H152" s="25"/>
      <c r="I152" s="25"/>
      <c r="J152" s="25"/>
      <c r="K152" s="25"/>
      <c r="L152" s="25"/>
      <c r="M152" s="25"/>
      <c r="N152" s="25"/>
      <c r="O152" s="25"/>
      <c r="P152" s="25"/>
      <c r="Q152" s="25"/>
    </row>
    <row r="153" spans="4:17" ht="57" x14ac:dyDescent="0.2">
      <c r="D153" s="101"/>
      <c r="E153" s="101"/>
      <c r="F153" s="101"/>
      <c r="G153" s="25"/>
      <c r="H153" s="25"/>
      <c r="I153" s="25"/>
      <c r="J153" s="25"/>
      <c r="K153" s="25"/>
      <c r="L153" s="25"/>
      <c r="M153" s="25"/>
      <c r="N153" s="25"/>
      <c r="O153" s="25"/>
      <c r="P153" s="25"/>
      <c r="Q153" s="25"/>
    </row>
    <row r="154" spans="4:17" ht="57" x14ac:dyDescent="0.2">
      <c r="D154" s="101"/>
      <c r="E154" s="101"/>
      <c r="F154" s="101"/>
      <c r="G154" s="25"/>
      <c r="H154" s="25"/>
      <c r="I154" s="25"/>
      <c r="J154" s="25"/>
      <c r="K154" s="25"/>
      <c r="L154" s="25"/>
      <c r="M154" s="25"/>
      <c r="N154" s="25"/>
      <c r="O154" s="25"/>
      <c r="P154" s="25"/>
      <c r="Q154" s="25"/>
    </row>
    <row r="155" spans="4:17" ht="57" x14ac:dyDescent="0.2">
      <c r="D155" s="101"/>
      <c r="E155" s="101"/>
      <c r="F155" s="101"/>
      <c r="G155" s="25"/>
      <c r="H155" s="25"/>
      <c r="I155" s="25"/>
      <c r="J155" s="25"/>
      <c r="K155" s="25"/>
      <c r="L155" s="25"/>
      <c r="M155" s="25"/>
      <c r="N155" s="25"/>
      <c r="O155" s="25"/>
      <c r="P155" s="25"/>
      <c r="Q155" s="25"/>
    </row>
    <row r="156" spans="4:17" ht="57" x14ac:dyDescent="0.2">
      <c r="D156" s="101"/>
      <c r="E156" s="101"/>
      <c r="F156" s="101"/>
      <c r="G156" s="25"/>
      <c r="H156" s="25"/>
      <c r="I156" s="25"/>
      <c r="J156" s="25"/>
      <c r="K156" s="25"/>
      <c r="L156" s="25"/>
      <c r="M156" s="25"/>
      <c r="N156" s="25"/>
      <c r="O156" s="25"/>
      <c r="P156" s="25"/>
      <c r="Q156" s="25"/>
    </row>
    <row r="157" spans="4:17" ht="57" x14ac:dyDescent="0.2">
      <c r="D157" s="101"/>
      <c r="E157" s="101"/>
      <c r="F157" s="101"/>
      <c r="G157" s="25"/>
      <c r="H157" s="25"/>
      <c r="I157" s="25"/>
      <c r="J157" s="25"/>
      <c r="K157" s="25"/>
      <c r="L157" s="25"/>
      <c r="M157" s="25"/>
      <c r="N157" s="25"/>
      <c r="O157" s="25"/>
      <c r="P157" s="25"/>
      <c r="Q157" s="25"/>
    </row>
    <row r="158" spans="4:17" ht="57" x14ac:dyDescent="0.2">
      <c r="D158" s="101"/>
      <c r="E158" s="101"/>
      <c r="F158" s="101"/>
      <c r="G158" s="25"/>
      <c r="H158" s="25"/>
      <c r="I158" s="25"/>
      <c r="J158" s="25"/>
      <c r="K158" s="25"/>
      <c r="L158" s="25"/>
      <c r="M158" s="25"/>
      <c r="N158" s="25"/>
      <c r="O158" s="25"/>
      <c r="P158" s="25"/>
      <c r="Q158" s="25"/>
    </row>
    <row r="159" spans="4:17" ht="57" x14ac:dyDescent="0.2">
      <c r="D159" s="101"/>
      <c r="E159" s="101"/>
      <c r="F159" s="101"/>
      <c r="G159" s="25"/>
      <c r="H159" s="25"/>
      <c r="I159" s="25"/>
      <c r="J159" s="25"/>
      <c r="K159" s="25"/>
      <c r="L159" s="25"/>
      <c r="M159" s="25"/>
      <c r="N159" s="25"/>
      <c r="O159" s="25"/>
      <c r="P159" s="25"/>
      <c r="Q159" s="25"/>
    </row>
    <row r="160" spans="4:17" ht="57" x14ac:dyDescent="0.2">
      <c r="D160" s="101"/>
      <c r="E160" s="101"/>
      <c r="F160" s="101"/>
      <c r="G160" s="25"/>
      <c r="H160" s="25"/>
      <c r="I160" s="25"/>
      <c r="J160" s="25"/>
      <c r="K160" s="25"/>
      <c r="L160" s="25"/>
      <c r="M160" s="25"/>
      <c r="N160" s="25"/>
      <c r="O160" s="25"/>
      <c r="P160" s="25"/>
      <c r="Q160" s="25"/>
    </row>
    <row r="161" spans="4:17" ht="57" x14ac:dyDescent="0.2">
      <c r="D161" s="101"/>
      <c r="E161" s="101"/>
      <c r="F161" s="101"/>
      <c r="G161" s="25"/>
      <c r="H161" s="25"/>
      <c r="I161" s="25"/>
      <c r="J161" s="25"/>
      <c r="K161" s="25"/>
      <c r="L161" s="25"/>
      <c r="M161" s="25"/>
      <c r="N161" s="25"/>
      <c r="O161" s="25"/>
      <c r="P161" s="25"/>
      <c r="Q161" s="25"/>
    </row>
    <row r="162" spans="4:17" ht="57" x14ac:dyDescent="0.2">
      <c r="D162" s="101"/>
      <c r="E162" s="101"/>
      <c r="F162" s="101"/>
      <c r="G162" s="25"/>
      <c r="H162" s="25"/>
      <c r="I162" s="25"/>
      <c r="J162" s="25"/>
      <c r="K162" s="25"/>
      <c r="L162" s="25"/>
      <c r="M162" s="25"/>
      <c r="N162" s="25"/>
      <c r="O162" s="25"/>
      <c r="P162" s="25"/>
      <c r="Q162" s="25"/>
    </row>
    <row r="163" spans="4:17" ht="57" x14ac:dyDescent="0.2">
      <c r="D163" s="101"/>
      <c r="E163" s="101"/>
      <c r="F163" s="101"/>
      <c r="G163" s="25"/>
      <c r="H163" s="25"/>
      <c r="I163" s="25"/>
      <c r="J163" s="25"/>
      <c r="K163" s="25"/>
      <c r="L163" s="25"/>
      <c r="M163" s="25"/>
      <c r="N163" s="25"/>
      <c r="O163" s="25"/>
      <c r="P163" s="25"/>
      <c r="Q163" s="25"/>
    </row>
    <row r="164" spans="4:17" ht="57" x14ac:dyDescent="0.2">
      <c r="D164" s="101"/>
      <c r="E164" s="101"/>
      <c r="F164" s="101"/>
      <c r="G164" s="25"/>
      <c r="H164" s="25"/>
      <c r="I164" s="25"/>
      <c r="J164" s="25"/>
      <c r="K164" s="25"/>
      <c r="L164" s="25"/>
      <c r="M164" s="25"/>
      <c r="N164" s="25"/>
      <c r="O164" s="25"/>
      <c r="P164" s="25"/>
      <c r="Q164" s="25"/>
    </row>
    <row r="165" spans="4:17" ht="57" x14ac:dyDescent="0.2">
      <c r="D165" s="101"/>
      <c r="E165" s="101"/>
      <c r="F165" s="101"/>
      <c r="G165" s="25"/>
      <c r="H165" s="25"/>
      <c r="I165" s="25"/>
      <c r="J165" s="25"/>
      <c r="K165" s="25"/>
      <c r="L165" s="25"/>
      <c r="M165" s="25"/>
      <c r="N165" s="25"/>
      <c r="O165" s="25"/>
      <c r="P165" s="25"/>
      <c r="Q165" s="25"/>
    </row>
    <row r="166" spans="4:17" ht="57" x14ac:dyDescent="0.2">
      <c r="D166" s="101"/>
      <c r="E166" s="101"/>
      <c r="F166" s="101"/>
      <c r="G166" s="25"/>
      <c r="H166" s="25"/>
      <c r="I166" s="25"/>
      <c r="J166" s="25"/>
      <c r="K166" s="25"/>
      <c r="L166" s="25"/>
      <c r="M166" s="25"/>
      <c r="N166" s="25"/>
      <c r="O166" s="25"/>
      <c r="P166" s="25"/>
      <c r="Q166" s="25"/>
    </row>
    <row r="167" spans="4:17" ht="57" x14ac:dyDescent="0.2">
      <c r="D167" s="101"/>
      <c r="E167" s="101"/>
      <c r="F167" s="101"/>
      <c r="G167" s="25"/>
      <c r="H167" s="25"/>
      <c r="I167" s="25"/>
      <c r="J167" s="25"/>
      <c r="K167" s="25"/>
      <c r="L167" s="25"/>
      <c r="M167" s="25"/>
      <c r="N167" s="25"/>
      <c r="O167" s="25"/>
      <c r="P167" s="25"/>
      <c r="Q167" s="25"/>
    </row>
    <row r="168" spans="4:17" ht="57" x14ac:dyDescent="0.2">
      <c r="D168" s="101"/>
      <c r="E168" s="101"/>
      <c r="F168" s="101"/>
      <c r="G168" s="25"/>
      <c r="H168" s="25"/>
      <c r="I168" s="25"/>
      <c r="J168" s="25"/>
      <c r="K168" s="25"/>
      <c r="L168" s="25"/>
      <c r="M168" s="25"/>
      <c r="N168" s="25"/>
      <c r="O168" s="25"/>
      <c r="P168" s="25"/>
      <c r="Q168" s="25"/>
    </row>
    <row r="169" spans="4:17" ht="57" x14ac:dyDescent="0.2">
      <c r="D169" s="101"/>
      <c r="E169" s="101"/>
      <c r="F169" s="101"/>
      <c r="G169" s="25"/>
      <c r="H169" s="25"/>
      <c r="I169" s="25"/>
      <c r="J169" s="25"/>
      <c r="K169" s="25"/>
      <c r="L169" s="25"/>
      <c r="M169" s="25"/>
      <c r="N169" s="25"/>
      <c r="O169" s="25"/>
      <c r="P169" s="25"/>
      <c r="Q169" s="25"/>
    </row>
    <row r="170" spans="4:17" ht="57" x14ac:dyDescent="0.2">
      <c r="D170" s="101"/>
      <c r="E170" s="101"/>
      <c r="F170" s="101"/>
      <c r="G170" s="25"/>
      <c r="H170" s="25"/>
      <c r="I170" s="25"/>
      <c r="J170" s="25"/>
      <c r="K170" s="25"/>
      <c r="L170" s="25"/>
      <c r="M170" s="25"/>
      <c r="N170" s="25"/>
      <c r="O170" s="25"/>
      <c r="P170" s="25"/>
      <c r="Q170" s="25"/>
    </row>
    <row r="171" spans="4:17" ht="57" x14ac:dyDescent="0.2">
      <c r="D171" s="101"/>
      <c r="E171" s="101"/>
      <c r="F171" s="101"/>
      <c r="G171" s="25"/>
      <c r="H171" s="25"/>
      <c r="I171" s="25"/>
      <c r="J171" s="25"/>
      <c r="K171" s="25"/>
      <c r="L171" s="25"/>
      <c r="M171" s="25"/>
      <c r="N171" s="25"/>
      <c r="O171" s="25"/>
      <c r="P171" s="25"/>
      <c r="Q171" s="25"/>
    </row>
    <row r="172" spans="4:17" ht="57" x14ac:dyDescent="0.2">
      <c r="D172" s="101"/>
      <c r="E172" s="101"/>
      <c r="F172" s="101"/>
      <c r="G172" s="25"/>
      <c r="H172" s="25"/>
      <c r="I172" s="25"/>
      <c r="J172" s="25"/>
      <c r="K172" s="25"/>
      <c r="L172" s="25"/>
      <c r="M172" s="25"/>
      <c r="N172" s="25"/>
      <c r="O172" s="25"/>
      <c r="P172" s="25"/>
      <c r="Q172" s="25"/>
    </row>
    <row r="173" spans="4:17" ht="57" x14ac:dyDescent="0.2">
      <c r="D173" s="101"/>
      <c r="E173" s="101"/>
      <c r="F173" s="101"/>
      <c r="G173" s="25"/>
      <c r="H173" s="25"/>
      <c r="I173" s="25"/>
      <c r="J173" s="25"/>
      <c r="K173" s="25"/>
      <c r="L173" s="25"/>
      <c r="M173" s="25"/>
      <c r="N173" s="25"/>
      <c r="O173" s="25"/>
      <c r="P173" s="25"/>
      <c r="Q173" s="25"/>
    </row>
    <row r="174" spans="4:17" ht="57" x14ac:dyDescent="0.2">
      <c r="D174" s="101"/>
      <c r="E174" s="101"/>
      <c r="F174" s="101"/>
      <c r="G174" s="25"/>
      <c r="H174" s="25"/>
      <c r="I174" s="25"/>
      <c r="J174" s="25"/>
      <c r="K174" s="25"/>
      <c r="L174" s="25"/>
      <c r="M174" s="25"/>
      <c r="N174" s="25"/>
      <c r="O174" s="25"/>
      <c r="P174" s="25"/>
      <c r="Q174" s="25"/>
    </row>
    <row r="175" spans="4:17" ht="57" x14ac:dyDescent="0.2">
      <c r="D175" s="101"/>
      <c r="E175" s="101"/>
      <c r="F175" s="101"/>
      <c r="G175" s="25"/>
      <c r="H175" s="25"/>
      <c r="I175" s="25"/>
      <c r="J175" s="25"/>
      <c r="K175" s="25"/>
      <c r="L175" s="25"/>
      <c r="M175" s="25"/>
      <c r="N175" s="25"/>
      <c r="O175" s="25"/>
      <c r="P175" s="25"/>
      <c r="Q175" s="25"/>
    </row>
    <row r="176" spans="4:17" ht="57" x14ac:dyDescent="0.2">
      <c r="D176" s="101"/>
      <c r="E176" s="101"/>
      <c r="F176" s="101"/>
      <c r="G176" s="25"/>
      <c r="H176" s="25"/>
      <c r="I176" s="25"/>
      <c r="J176" s="25"/>
      <c r="K176" s="25"/>
      <c r="L176" s="25"/>
      <c r="M176" s="25"/>
      <c r="N176" s="25"/>
      <c r="O176" s="25"/>
      <c r="P176" s="25"/>
      <c r="Q176" s="25"/>
    </row>
    <row r="177" spans="4:17" ht="57" x14ac:dyDescent="0.2">
      <c r="D177" s="101"/>
      <c r="E177" s="101"/>
      <c r="F177" s="101"/>
      <c r="G177" s="25"/>
      <c r="H177" s="25"/>
      <c r="I177" s="25"/>
      <c r="J177" s="25"/>
      <c r="K177" s="25"/>
      <c r="L177" s="25"/>
      <c r="M177" s="25"/>
      <c r="N177" s="25"/>
      <c r="O177" s="25"/>
      <c r="P177" s="25"/>
      <c r="Q177" s="25"/>
    </row>
    <row r="178" spans="4:17" ht="57" x14ac:dyDescent="0.2">
      <c r="D178" s="101"/>
      <c r="E178" s="101"/>
      <c r="F178" s="101"/>
      <c r="G178" s="25"/>
      <c r="H178" s="25"/>
      <c r="I178" s="25"/>
      <c r="J178" s="25"/>
      <c r="K178" s="25"/>
      <c r="L178" s="25"/>
      <c r="M178" s="25"/>
      <c r="N178" s="25"/>
      <c r="O178" s="25"/>
      <c r="P178" s="25"/>
      <c r="Q178" s="25"/>
    </row>
    <row r="179" spans="4:17" ht="57" x14ac:dyDescent="0.2">
      <c r="D179" s="101"/>
      <c r="E179" s="101"/>
      <c r="F179" s="101"/>
      <c r="G179" s="25"/>
      <c r="H179" s="25"/>
      <c r="I179" s="25"/>
      <c r="J179" s="25"/>
      <c r="K179" s="25"/>
      <c r="L179" s="25"/>
      <c r="M179" s="25"/>
      <c r="N179" s="25"/>
      <c r="O179" s="25"/>
      <c r="P179" s="25"/>
      <c r="Q179" s="25"/>
    </row>
    <row r="180" spans="4:17" ht="57" x14ac:dyDescent="0.2">
      <c r="D180" s="101"/>
      <c r="E180" s="101"/>
      <c r="F180" s="101"/>
      <c r="G180" s="25"/>
      <c r="H180" s="25"/>
      <c r="I180" s="25"/>
      <c r="J180" s="25"/>
      <c r="K180" s="25"/>
      <c r="L180" s="25"/>
      <c r="M180" s="25"/>
      <c r="N180" s="25"/>
      <c r="O180" s="25"/>
      <c r="P180" s="25"/>
      <c r="Q180" s="25"/>
    </row>
    <row r="181" spans="4:17" ht="57" x14ac:dyDescent="0.2">
      <c r="D181" s="101"/>
      <c r="E181" s="101"/>
      <c r="F181" s="101"/>
      <c r="G181" s="25"/>
      <c r="H181" s="25"/>
      <c r="I181" s="25"/>
      <c r="J181" s="25"/>
      <c r="K181" s="25"/>
      <c r="L181" s="25"/>
      <c r="M181" s="25"/>
      <c r="N181" s="25"/>
      <c r="O181" s="25"/>
      <c r="P181" s="25"/>
      <c r="Q181" s="25"/>
    </row>
    <row r="182" spans="4:17" ht="57" x14ac:dyDescent="0.2">
      <c r="D182" s="101"/>
      <c r="E182" s="101"/>
      <c r="F182" s="101"/>
      <c r="G182" s="25"/>
      <c r="H182" s="25"/>
      <c r="I182" s="25"/>
      <c r="J182" s="25"/>
      <c r="K182" s="25"/>
      <c r="L182" s="25"/>
      <c r="M182" s="25"/>
      <c r="N182" s="25"/>
      <c r="O182" s="25"/>
      <c r="P182" s="25"/>
      <c r="Q182" s="25"/>
    </row>
    <row r="183" spans="4:17" ht="57" x14ac:dyDescent="0.2">
      <c r="D183" s="101"/>
      <c r="E183" s="101"/>
      <c r="F183" s="101"/>
      <c r="G183" s="25"/>
      <c r="H183" s="25"/>
      <c r="I183" s="25"/>
      <c r="J183" s="25"/>
      <c r="K183" s="25"/>
      <c r="L183" s="25"/>
      <c r="M183" s="25"/>
      <c r="N183" s="25"/>
      <c r="O183" s="25"/>
      <c r="P183" s="25"/>
      <c r="Q183" s="25"/>
    </row>
    <row r="184" spans="4:17" ht="57" x14ac:dyDescent="0.2">
      <c r="D184" s="101"/>
      <c r="E184" s="101"/>
      <c r="F184" s="101"/>
      <c r="G184" s="25"/>
      <c r="H184" s="25"/>
      <c r="I184" s="25"/>
      <c r="J184" s="25"/>
      <c r="K184" s="25"/>
      <c r="L184" s="25"/>
      <c r="M184" s="25"/>
      <c r="N184" s="25"/>
      <c r="O184" s="25"/>
      <c r="P184" s="25"/>
      <c r="Q184" s="25"/>
    </row>
    <row r="185" spans="4:17" ht="57" x14ac:dyDescent="0.2">
      <c r="D185" s="101"/>
      <c r="E185" s="101"/>
      <c r="F185" s="101"/>
      <c r="G185" s="25"/>
      <c r="H185" s="25"/>
      <c r="I185" s="25"/>
      <c r="J185" s="25"/>
      <c r="K185" s="25"/>
      <c r="L185" s="25"/>
      <c r="M185" s="25"/>
      <c r="N185" s="25"/>
      <c r="O185" s="25"/>
      <c r="P185" s="25"/>
      <c r="Q185" s="25"/>
    </row>
    <row r="186" spans="4:17" ht="57" x14ac:dyDescent="0.2">
      <c r="D186" s="101"/>
      <c r="E186" s="101"/>
      <c r="F186" s="101"/>
      <c r="G186" s="25"/>
      <c r="H186" s="25"/>
      <c r="I186" s="25"/>
      <c r="J186" s="25"/>
      <c r="K186" s="25"/>
      <c r="L186" s="25"/>
      <c r="M186" s="25"/>
      <c r="N186" s="25"/>
      <c r="O186" s="25"/>
      <c r="P186" s="25"/>
      <c r="Q186" s="25"/>
    </row>
    <row r="187" spans="4:17" ht="57" x14ac:dyDescent="0.2">
      <c r="D187" s="101"/>
      <c r="E187" s="101"/>
      <c r="F187" s="101"/>
      <c r="G187" s="25"/>
      <c r="H187" s="25"/>
      <c r="I187" s="25"/>
      <c r="J187" s="25"/>
      <c r="K187" s="25"/>
      <c r="L187" s="25"/>
      <c r="M187" s="25"/>
      <c r="N187" s="25"/>
      <c r="O187" s="25"/>
      <c r="P187" s="25"/>
      <c r="Q187" s="25"/>
    </row>
    <row r="188" spans="4:17" ht="57" x14ac:dyDescent="0.2">
      <c r="D188" s="101"/>
      <c r="E188" s="101"/>
      <c r="F188" s="101"/>
      <c r="G188" s="25"/>
      <c r="H188" s="25"/>
      <c r="I188" s="25"/>
      <c r="J188" s="25"/>
      <c r="K188" s="25"/>
      <c r="L188" s="25"/>
      <c r="M188" s="25"/>
      <c r="N188" s="25"/>
      <c r="O188" s="25"/>
      <c r="P188" s="25"/>
      <c r="Q188" s="25"/>
    </row>
    <row r="189" spans="4:17" ht="57" x14ac:dyDescent="0.2">
      <c r="D189" s="101"/>
      <c r="E189" s="101"/>
      <c r="F189" s="101"/>
      <c r="G189" s="25"/>
      <c r="H189" s="25"/>
      <c r="I189" s="25"/>
      <c r="J189" s="25"/>
      <c r="K189" s="25"/>
      <c r="L189" s="25"/>
      <c r="M189" s="25"/>
      <c r="N189" s="25"/>
      <c r="O189" s="25"/>
      <c r="P189" s="25"/>
      <c r="Q189" s="25"/>
    </row>
    <row r="190" spans="4:17" ht="57" x14ac:dyDescent="0.2">
      <c r="D190" s="101"/>
      <c r="E190" s="101"/>
      <c r="F190" s="101"/>
      <c r="G190" s="25"/>
      <c r="H190" s="25"/>
      <c r="I190" s="25"/>
      <c r="J190" s="25"/>
      <c r="K190" s="25"/>
      <c r="L190" s="25"/>
      <c r="M190" s="25"/>
      <c r="N190" s="25"/>
      <c r="O190" s="25"/>
      <c r="P190" s="25"/>
      <c r="Q190" s="25"/>
    </row>
    <row r="191" spans="4:17" ht="57" x14ac:dyDescent="0.2">
      <c r="D191" s="101"/>
      <c r="E191" s="101"/>
      <c r="F191" s="101"/>
      <c r="G191" s="25"/>
      <c r="H191" s="25"/>
      <c r="I191" s="25"/>
      <c r="J191" s="25"/>
      <c r="K191" s="25"/>
      <c r="L191" s="25"/>
      <c r="M191" s="25"/>
      <c r="N191" s="25"/>
      <c r="O191" s="25"/>
      <c r="P191" s="25"/>
      <c r="Q191" s="25"/>
    </row>
    <row r="192" spans="4:17" ht="57" x14ac:dyDescent="0.2">
      <c r="D192" s="101"/>
      <c r="E192" s="101"/>
      <c r="F192" s="101"/>
      <c r="G192" s="25"/>
      <c r="H192" s="25"/>
      <c r="I192" s="25"/>
      <c r="J192" s="25"/>
      <c r="K192" s="25"/>
      <c r="L192" s="25"/>
      <c r="M192" s="25"/>
      <c r="N192" s="25"/>
      <c r="O192" s="25"/>
      <c r="P192" s="25"/>
      <c r="Q192" s="25"/>
    </row>
    <row r="193" spans="4:17" ht="57" x14ac:dyDescent="0.2">
      <c r="D193" s="101"/>
      <c r="E193" s="101"/>
      <c r="F193" s="101"/>
      <c r="G193" s="25"/>
      <c r="H193" s="25"/>
      <c r="I193" s="25"/>
      <c r="J193" s="25"/>
      <c r="K193" s="25"/>
      <c r="L193" s="25"/>
      <c r="M193" s="25"/>
      <c r="N193" s="25"/>
      <c r="O193" s="25"/>
      <c r="P193" s="25"/>
      <c r="Q193" s="25"/>
    </row>
    <row r="194" spans="4:17" ht="57" x14ac:dyDescent="0.2">
      <c r="D194" s="101"/>
      <c r="E194" s="101"/>
      <c r="F194" s="101"/>
      <c r="G194" s="25"/>
      <c r="H194" s="25"/>
      <c r="I194" s="25"/>
      <c r="J194" s="25"/>
      <c r="K194" s="25"/>
      <c r="L194" s="25"/>
      <c r="M194" s="25"/>
      <c r="N194" s="25"/>
      <c r="O194" s="25"/>
      <c r="P194" s="25"/>
      <c r="Q194" s="25"/>
    </row>
    <row r="195" spans="4:17" ht="57" x14ac:dyDescent="0.2">
      <c r="D195" s="101"/>
      <c r="E195" s="101"/>
      <c r="F195" s="101"/>
      <c r="G195" s="25"/>
      <c r="H195" s="25"/>
      <c r="I195" s="25"/>
      <c r="J195" s="25"/>
      <c r="K195" s="25"/>
      <c r="L195" s="25"/>
      <c r="M195" s="25"/>
      <c r="N195" s="25"/>
      <c r="O195" s="25"/>
      <c r="P195" s="25"/>
      <c r="Q195" s="25"/>
    </row>
    <row r="196" spans="4:17" ht="57" x14ac:dyDescent="0.2">
      <c r="D196" s="101"/>
      <c r="E196" s="101"/>
      <c r="F196" s="101"/>
      <c r="G196" s="25"/>
      <c r="H196" s="25"/>
      <c r="I196" s="25"/>
      <c r="J196" s="25"/>
      <c r="K196" s="25"/>
      <c r="L196" s="25"/>
      <c r="M196" s="25"/>
      <c r="N196" s="25"/>
      <c r="O196" s="25"/>
      <c r="P196" s="25"/>
      <c r="Q196" s="25"/>
    </row>
    <row r="197" spans="4:17" ht="57" x14ac:dyDescent="0.2">
      <c r="D197" s="101"/>
      <c r="E197" s="101"/>
      <c r="F197" s="101"/>
      <c r="G197" s="25"/>
      <c r="H197" s="25"/>
      <c r="I197" s="25"/>
      <c r="J197" s="25"/>
      <c r="K197" s="25"/>
      <c r="L197" s="25"/>
      <c r="M197" s="25"/>
      <c r="N197" s="25"/>
      <c r="O197" s="25"/>
      <c r="P197" s="25"/>
      <c r="Q197" s="25"/>
    </row>
    <row r="198" spans="4:17" ht="57" x14ac:dyDescent="0.2">
      <c r="D198" s="101"/>
      <c r="E198" s="101"/>
      <c r="F198" s="101"/>
      <c r="G198" s="25"/>
      <c r="H198" s="25"/>
      <c r="I198" s="25"/>
      <c r="J198" s="25"/>
      <c r="K198" s="25"/>
      <c r="L198" s="25"/>
      <c r="M198" s="25"/>
      <c r="N198" s="25"/>
      <c r="O198" s="25"/>
      <c r="P198" s="25"/>
      <c r="Q198" s="25"/>
    </row>
    <row r="199" spans="4:17" ht="57" x14ac:dyDescent="0.2">
      <c r="D199" s="101"/>
      <c r="E199" s="101"/>
      <c r="F199" s="101"/>
      <c r="G199" s="25"/>
      <c r="H199" s="25"/>
      <c r="I199" s="25"/>
      <c r="J199" s="25"/>
      <c r="K199" s="25"/>
      <c r="L199" s="25"/>
      <c r="M199" s="25"/>
      <c r="N199" s="25"/>
      <c r="O199" s="25"/>
      <c r="P199" s="25"/>
      <c r="Q199" s="25"/>
    </row>
    <row r="200" spans="4:17" ht="57" x14ac:dyDescent="0.2">
      <c r="D200" s="101"/>
      <c r="E200" s="101"/>
      <c r="F200" s="101"/>
      <c r="G200" s="25"/>
      <c r="H200" s="25"/>
      <c r="I200" s="25"/>
      <c r="J200" s="25"/>
      <c r="K200" s="25"/>
      <c r="L200" s="25"/>
      <c r="M200" s="25"/>
      <c r="N200" s="25"/>
      <c r="O200" s="25"/>
      <c r="P200" s="25"/>
      <c r="Q200" s="25"/>
    </row>
    <row r="201" spans="4:17" ht="57" x14ac:dyDescent="0.2">
      <c r="D201" s="101"/>
      <c r="E201" s="101"/>
      <c r="F201" s="101"/>
      <c r="G201" s="25"/>
      <c r="H201" s="25"/>
      <c r="I201" s="25"/>
      <c r="J201" s="25"/>
      <c r="K201" s="25"/>
      <c r="L201" s="25"/>
      <c r="M201" s="25"/>
      <c r="N201" s="25"/>
      <c r="O201" s="25"/>
      <c r="P201" s="25"/>
      <c r="Q201" s="25"/>
    </row>
    <row r="202" spans="4:17" ht="57" x14ac:dyDescent="0.2">
      <c r="D202" s="101"/>
      <c r="E202" s="101"/>
      <c r="F202" s="101"/>
      <c r="G202" s="25"/>
      <c r="H202" s="25"/>
      <c r="I202" s="25"/>
      <c r="J202" s="25"/>
      <c r="K202" s="25"/>
      <c r="L202" s="25"/>
      <c r="M202" s="25"/>
      <c r="N202" s="25"/>
      <c r="O202" s="25"/>
      <c r="P202" s="25"/>
      <c r="Q202" s="25"/>
    </row>
    <row r="203" spans="4:17" ht="57" x14ac:dyDescent="0.2">
      <c r="D203" s="101"/>
      <c r="E203" s="101"/>
      <c r="F203" s="101"/>
      <c r="G203" s="25"/>
      <c r="H203" s="25"/>
      <c r="I203" s="25"/>
      <c r="J203" s="25"/>
      <c r="K203" s="25"/>
      <c r="L203" s="25"/>
      <c r="M203" s="25"/>
      <c r="N203" s="25"/>
      <c r="O203" s="25"/>
      <c r="P203" s="25"/>
      <c r="Q203" s="25"/>
    </row>
    <row r="204" spans="4:17" ht="57" x14ac:dyDescent="0.2">
      <c r="D204" s="101"/>
      <c r="E204" s="101"/>
      <c r="F204" s="101"/>
      <c r="G204" s="25"/>
      <c r="H204" s="25"/>
      <c r="I204" s="25"/>
      <c r="J204" s="25"/>
      <c r="K204" s="25"/>
      <c r="L204" s="25"/>
      <c r="M204" s="25"/>
      <c r="N204" s="25"/>
      <c r="O204" s="25"/>
      <c r="P204" s="25"/>
      <c r="Q204" s="25"/>
    </row>
    <row r="205" spans="4:17" ht="57" x14ac:dyDescent="0.2">
      <c r="D205" s="101"/>
      <c r="E205" s="101"/>
      <c r="F205" s="101"/>
      <c r="G205" s="25"/>
      <c r="H205" s="25"/>
      <c r="I205" s="25"/>
      <c r="J205" s="25"/>
      <c r="K205" s="25"/>
      <c r="L205" s="25"/>
      <c r="M205" s="25"/>
      <c r="N205" s="25"/>
      <c r="O205" s="25"/>
      <c r="P205" s="25"/>
      <c r="Q205" s="25"/>
    </row>
    <row r="206" spans="4:17" ht="57" x14ac:dyDescent="0.2">
      <c r="D206" s="101"/>
      <c r="E206" s="101"/>
      <c r="F206" s="101"/>
      <c r="G206" s="25"/>
      <c r="H206" s="25"/>
      <c r="I206" s="25"/>
      <c r="J206" s="25"/>
      <c r="K206" s="25"/>
      <c r="L206" s="25"/>
      <c r="M206" s="25"/>
      <c r="N206" s="25"/>
      <c r="O206" s="25"/>
      <c r="P206" s="25"/>
      <c r="Q206" s="25"/>
    </row>
    <row r="207" spans="4:17" ht="57" x14ac:dyDescent="0.2">
      <c r="D207" s="101"/>
      <c r="E207" s="101"/>
      <c r="F207" s="101"/>
      <c r="G207" s="25"/>
      <c r="H207" s="25"/>
      <c r="I207" s="25"/>
      <c r="J207" s="25"/>
      <c r="K207" s="25"/>
      <c r="L207" s="25"/>
      <c r="M207" s="25"/>
      <c r="N207" s="25"/>
      <c r="O207" s="25"/>
      <c r="P207" s="25"/>
      <c r="Q207" s="25"/>
    </row>
    <row r="208" spans="4:17" ht="57" x14ac:dyDescent="0.2">
      <c r="D208" s="101"/>
      <c r="E208" s="101"/>
      <c r="F208" s="101"/>
      <c r="G208" s="25"/>
      <c r="H208" s="25"/>
      <c r="I208" s="25"/>
      <c r="J208" s="25"/>
      <c r="K208" s="25"/>
      <c r="L208" s="25"/>
      <c r="M208" s="25"/>
      <c r="N208" s="25"/>
      <c r="O208" s="25"/>
      <c r="P208" s="25"/>
      <c r="Q208" s="25"/>
    </row>
    <row r="209" spans="4:17" ht="57" x14ac:dyDescent="0.2">
      <c r="D209" s="101"/>
      <c r="E209" s="101"/>
      <c r="F209" s="101"/>
      <c r="G209" s="25"/>
      <c r="H209" s="25"/>
      <c r="I209" s="25"/>
      <c r="J209" s="25"/>
      <c r="K209" s="25"/>
      <c r="L209" s="25"/>
      <c r="M209" s="25"/>
      <c r="N209" s="25"/>
      <c r="O209" s="25"/>
      <c r="P209" s="25"/>
      <c r="Q209" s="25"/>
    </row>
    <row r="210" spans="4:17" ht="57" x14ac:dyDescent="0.2">
      <c r="D210" s="101"/>
      <c r="E210" s="101"/>
      <c r="F210" s="101"/>
      <c r="G210" s="25"/>
      <c r="H210" s="25"/>
      <c r="I210" s="25"/>
      <c r="J210" s="25"/>
      <c r="K210" s="25"/>
      <c r="L210" s="25"/>
      <c r="M210" s="25"/>
      <c r="N210" s="25"/>
      <c r="O210" s="25"/>
      <c r="P210" s="25"/>
      <c r="Q210" s="25"/>
    </row>
    <row r="211" spans="4:17" ht="57" x14ac:dyDescent="0.2">
      <c r="D211" s="101"/>
      <c r="E211" s="101"/>
      <c r="F211" s="101"/>
      <c r="G211" s="25"/>
      <c r="H211" s="25"/>
      <c r="I211" s="25"/>
      <c r="J211" s="25"/>
      <c r="K211" s="25"/>
      <c r="L211" s="25"/>
      <c r="M211" s="25"/>
      <c r="N211" s="25"/>
      <c r="O211" s="25"/>
      <c r="P211" s="25"/>
      <c r="Q211" s="25"/>
    </row>
    <row r="212" spans="4:17" ht="57" x14ac:dyDescent="0.2">
      <c r="D212" s="101"/>
      <c r="E212" s="101"/>
      <c r="F212" s="101"/>
      <c r="G212" s="25"/>
      <c r="H212" s="25"/>
      <c r="I212" s="25"/>
      <c r="J212" s="25"/>
      <c r="K212" s="25"/>
      <c r="L212" s="25"/>
      <c r="M212" s="25"/>
      <c r="N212" s="25"/>
      <c r="O212" s="25"/>
      <c r="P212" s="25"/>
      <c r="Q212" s="25"/>
    </row>
    <row r="213" spans="4:17" ht="57" x14ac:dyDescent="0.2">
      <c r="D213" s="101"/>
      <c r="E213" s="101"/>
      <c r="F213" s="101"/>
      <c r="G213" s="25"/>
      <c r="H213" s="25"/>
      <c r="I213" s="25"/>
      <c r="J213" s="25"/>
      <c r="K213" s="25"/>
      <c r="L213" s="25"/>
      <c r="M213" s="25"/>
      <c r="N213" s="25"/>
      <c r="O213" s="25"/>
      <c r="P213" s="25"/>
      <c r="Q213" s="25"/>
    </row>
    <row r="214" spans="4:17" ht="57" x14ac:dyDescent="0.2">
      <c r="D214" s="101"/>
      <c r="E214" s="101"/>
      <c r="F214" s="101"/>
      <c r="G214" s="25"/>
      <c r="H214" s="25"/>
      <c r="I214" s="25"/>
      <c r="J214" s="25"/>
      <c r="K214" s="25"/>
      <c r="L214" s="25"/>
      <c r="M214" s="25"/>
      <c r="N214" s="25"/>
      <c r="O214" s="25"/>
      <c r="P214" s="25"/>
      <c r="Q214" s="25"/>
    </row>
    <row r="215" spans="4:17" ht="57" x14ac:dyDescent="0.2">
      <c r="D215" s="101"/>
      <c r="E215" s="101"/>
      <c r="F215" s="101"/>
    </row>
    <row r="216" spans="4:17" ht="81.75" x14ac:dyDescent="0.2">
      <c r="D216" s="54"/>
      <c r="E216" s="54"/>
      <c r="F216" s="54"/>
    </row>
    <row r="217" spans="4:17" ht="81.75" x14ac:dyDescent="1.05">
      <c r="D217" s="55"/>
      <c r="E217" s="55"/>
      <c r="F217" s="55"/>
    </row>
    <row r="218" spans="4:17" ht="25.5" x14ac:dyDescent="0.35">
      <c r="D218" s="24"/>
      <c r="E218" s="24"/>
      <c r="F218" s="24"/>
    </row>
  </sheetData>
  <sheetProtection selectLockedCells="1" selectUnlockedCells="1"/>
  <mergeCells count="44">
    <mergeCell ref="A114:B114"/>
    <mergeCell ref="A115:B115"/>
    <mergeCell ref="U6:U12"/>
    <mergeCell ref="T10:T12"/>
    <mergeCell ref="S10:S12"/>
    <mergeCell ref="S8:T8"/>
    <mergeCell ref="S7:T7"/>
    <mergeCell ref="S6:T6"/>
    <mergeCell ref="S114:T114"/>
    <mergeCell ref="S115:T115"/>
    <mergeCell ref="Q10:Q12"/>
    <mergeCell ref="P10:P12"/>
    <mergeCell ref="L10:M10"/>
    <mergeCell ref="L11:L12"/>
    <mergeCell ref="M11:M12"/>
    <mergeCell ref="N9:O9"/>
    <mergeCell ref="N10:N12"/>
    <mergeCell ref="O11:O12"/>
    <mergeCell ref="A6:A12"/>
    <mergeCell ref="B6:B12"/>
    <mergeCell ref="G10:G12"/>
    <mergeCell ref="D10:D12"/>
    <mergeCell ref="E10:E12"/>
    <mergeCell ref="H10:H12"/>
    <mergeCell ref="H8:J8"/>
    <mergeCell ref="F1:G1"/>
    <mergeCell ref="D3:G3"/>
    <mergeCell ref="D8:G8"/>
    <mergeCell ref="K8:Q8"/>
    <mergeCell ref="Q4:R4"/>
    <mergeCell ref="C6:G6"/>
    <mergeCell ref="C7:G7"/>
    <mergeCell ref="R6:R12"/>
    <mergeCell ref="K7:Q7"/>
    <mergeCell ref="F2:G2"/>
    <mergeCell ref="F10:F12"/>
    <mergeCell ref="K9:M9"/>
    <mergeCell ref="C10:C12"/>
    <mergeCell ref="K6:Q6"/>
    <mergeCell ref="H7:J7"/>
    <mergeCell ref="I10:I12"/>
    <mergeCell ref="J10:J12"/>
    <mergeCell ref="K10:K12"/>
    <mergeCell ref="H6:J6"/>
  </mergeCells>
  <printOptions horizontalCentered="1"/>
  <pageMargins left="0.6692913385826772" right="0.15748031496062992" top="0.43307086614173229" bottom="0.51181102362204722" header="0" footer="0"/>
  <pageSetup paperSize="9" scale="10" firstPageNumber="0" fitToWidth="0" fitToHeight="0" orientation="portrait" horizontalDpi="300" verticalDpi="300" r:id="rId1"/>
  <headerFooter differentFirst="1" alignWithMargins="0">
    <oddHeader>&amp;C&amp;"Times New Roman,обычный"&amp;54&amp;P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 4  </vt:lpstr>
      <vt:lpstr>ОР</vt:lpstr>
      <vt:lpstr>'Дод 4  '!Заголовки_для_печати</vt:lpstr>
      <vt:lpstr>ОР!Заголовки_для_печати</vt:lpstr>
      <vt:lpstr>'Дод 4  '!Область_печати</vt:lpstr>
      <vt:lpstr>ОР!Область_печати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2018-12-21T08:58:43Z</cp:lastPrinted>
  <dcterms:created xsi:type="dcterms:W3CDTF">2015-09-22T09:14:37Z</dcterms:created>
  <dcterms:modified xsi:type="dcterms:W3CDTF">2018-12-21T09:15:21Z</dcterms:modified>
</cp:coreProperties>
</file>