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activeTab="1"/>
  </bookViews>
  <sheets>
    <sheet name="З" sheetId="13" r:id="rId1"/>
    <sheet name="НА" sheetId="14" r:id="rId2"/>
  </sheets>
  <definedNames>
    <definedName name="_xlnm._FilterDatabase" localSheetId="0" hidden="1">З!$A$12:$D$157</definedName>
    <definedName name="_xlnm._FilterDatabase" localSheetId="1" hidden="1">НА!$A$5:$J$377</definedName>
    <definedName name="_xlnm.Print_Titles" localSheetId="0">З!$A:$C,З!$8:$8</definedName>
    <definedName name="_xlnm.Print_Titles" localSheetId="1">НА!$4:$9</definedName>
    <definedName name="_xlnm.Print_Area" localSheetId="0">З!$A$1:$D$159</definedName>
    <definedName name="_xlnm.Print_Area" localSheetId="1">НА!$A$1:$J$380</definedName>
  </definedNames>
  <calcPr calcId="145621"/>
</workbook>
</file>

<file path=xl/calcChain.xml><?xml version="1.0" encoding="utf-8"?>
<calcChain xmlns="http://schemas.openxmlformats.org/spreadsheetml/2006/main">
  <c r="F360" i="14" l="1"/>
  <c r="F242" i="14" l="1"/>
  <c r="D116" i="13" l="1"/>
  <c r="E108" i="14" l="1"/>
  <c r="E102" i="14"/>
  <c r="E97" i="14"/>
  <c r="E95" i="14"/>
  <c r="E94" i="14"/>
  <c r="E86" i="14"/>
  <c r="E84" i="14"/>
  <c r="E80" i="14"/>
  <c r="E79" i="14"/>
  <c r="E78" i="14"/>
  <c r="E77" i="14"/>
  <c r="E76" i="14"/>
  <c r="E74" i="14"/>
  <c r="E73" i="14"/>
  <c r="E71" i="14"/>
  <c r="E69" i="14"/>
  <c r="E67" i="14"/>
  <c r="E66" i="14"/>
  <c r="E65" i="14" l="1"/>
  <c r="E63" i="14"/>
  <c r="E60" i="14"/>
  <c r="E56" i="14"/>
  <c r="D39" i="13" l="1"/>
  <c r="F112" i="14" l="1"/>
  <c r="F119" i="14"/>
  <c r="F118" i="14"/>
  <c r="F117" i="14"/>
  <c r="F116" i="14"/>
  <c r="F114" i="14"/>
  <c r="F113" i="14"/>
  <c r="E252" i="14" l="1"/>
  <c r="F253" i="14"/>
  <c r="F254" i="14" s="1"/>
  <c r="D122" i="13"/>
  <c r="E369" i="14" l="1"/>
  <c r="E342" i="14"/>
  <c r="F123" i="14" l="1"/>
  <c r="F156" i="14"/>
  <c r="F155" i="14"/>
  <c r="F154" i="14"/>
  <c r="F153" i="14"/>
  <c r="F152" i="14"/>
  <c r="F149" i="14"/>
  <c r="F151" i="14"/>
  <c r="F150" i="14"/>
  <c r="F148" i="14"/>
  <c r="F147" i="14"/>
  <c r="F146" i="14"/>
  <c r="F145" i="14"/>
  <c r="F144" i="14"/>
  <c r="F143" i="14"/>
  <c r="F142" i="14"/>
  <c r="F141" i="14"/>
  <c r="F140" i="14"/>
  <c r="F139" i="14"/>
  <c r="F138" i="14"/>
  <c r="F136" i="14"/>
  <c r="F135" i="14"/>
  <c r="F134" i="14"/>
  <c r="F133" i="14"/>
  <c r="F132" i="14"/>
  <c r="F131" i="14"/>
  <c r="F130" i="14"/>
  <c r="F129" i="14"/>
  <c r="G128" i="14"/>
  <c r="F128" i="14"/>
  <c r="F127" i="14"/>
  <c r="G126" i="14"/>
  <c r="F126" i="14"/>
  <c r="G125" i="14"/>
  <c r="F125" i="14"/>
  <c r="F124" i="14"/>
  <c r="G212" i="14" l="1"/>
  <c r="G205" i="14"/>
  <c r="G239" i="14"/>
  <c r="F239" i="14"/>
  <c r="G238" i="14"/>
  <c r="F238" i="14"/>
  <c r="G237" i="14"/>
  <c r="F237" i="14"/>
  <c r="G236" i="14"/>
  <c r="F236" i="14"/>
  <c r="G235" i="14"/>
  <c r="F235" i="14"/>
  <c r="G234" i="14"/>
  <c r="F234" i="14"/>
  <c r="G233" i="14"/>
  <c r="F233" i="14"/>
  <c r="G232" i="14"/>
  <c r="F232" i="14"/>
  <c r="G231" i="14"/>
  <c r="F231" i="14"/>
  <c r="G230" i="14"/>
  <c r="F230" i="14"/>
  <c r="G229" i="14"/>
  <c r="F229" i="14"/>
  <c r="G228" i="14"/>
  <c r="F228" i="14"/>
  <c r="G227" i="14"/>
  <c r="F227" i="14"/>
  <c r="G226" i="14"/>
  <c r="F226" i="14"/>
  <c r="G225" i="14"/>
  <c r="F225" i="14"/>
  <c r="G224" i="14"/>
  <c r="F224" i="14"/>
  <c r="G223" i="14"/>
  <c r="F223" i="14"/>
  <c r="G222" i="14"/>
  <c r="F222" i="14"/>
  <c r="G221" i="14"/>
  <c r="F221" i="14"/>
  <c r="G220" i="14"/>
  <c r="F220" i="14"/>
  <c r="G219" i="14"/>
  <c r="F219" i="14"/>
  <c r="G218" i="14"/>
  <c r="F218" i="14"/>
  <c r="G217" i="14"/>
  <c r="F217" i="14"/>
  <c r="G216" i="14"/>
  <c r="F216" i="14"/>
  <c r="G215" i="14"/>
  <c r="F215" i="14"/>
  <c r="G214" i="14"/>
  <c r="F214" i="14"/>
  <c r="G213" i="14"/>
  <c r="F213" i="14"/>
  <c r="F212" i="14"/>
  <c r="G211" i="14"/>
  <c r="F211" i="14"/>
  <c r="G210" i="14"/>
  <c r="F210" i="14"/>
  <c r="G209" i="14"/>
  <c r="F209" i="14"/>
  <c r="G208" i="14"/>
  <c r="F208" i="14"/>
  <c r="G207" i="14"/>
  <c r="F207" i="14"/>
  <c r="G206" i="14"/>
  <c r="F206" i="14"/>
  <c r="F205" i="14"/>
  <c r="G204" i="14"/>
  <c r="F204" i="14"/>
  <c r="G203" i="14"/>
  <c r="F203" i="14"/>
  <c r="G202" i="14"/>
  <c r="F202" i="14"/>
  <c r="G201" i="14"/>
  <c r="F201" i="14"/>
  <c r="G200" i="14"/>
  <c r="F200" i="14"/>
  <c r="G199" i="14"/>
  <c r="F199" i="14"/>
  <c r="G198" i="14"/>
  <c r="F198" i="14"/>
  <c r="G197" i="14"/>
  <c r="F197" i="14"/>
  <c r="G196" i="14"/>
  <c r="F196" i="14"/>
  <c r="G195" i="14"/>
  <c r="F195" i="14"/>
  <c r="G194" i="14"/>
  <c r="F194" i="14"/>
  <c r="G193" i="14"/>
  <c r="F193" i="14"/>
  <c r="G192" i="14"/>
  <c r="F192" i="14"/>
  <c r="G191" i="14"/>
  <c r="F191" i="14"/>
  <c r="G190" i="14"/>
  <c r="F190" i="14"/>
  <c r="G189" i="14"/>
  <c r="F189" i="14"/>
  <c r="G188" i="14"/>
  <c r="F188" i="14"/>
  <c r="G187" i="14"/>
  <c r="F187" i="14"/>
  <c r="G186" i="14"/>
  <c r="F186" i="14"/>
  <c r="G185" i="14"/>
  <c r="F185" i="14"/>
  <c r="G183" i="14"/>
  <c r="F183" i="14"/>
  <c r="G182" i="14"/>
  <c r="F182" i="14"/>
  <c r="G181" i="14"/>
  <c r="F181" i="14"/>
  <c r="G180" i="14"/>
  <c r="F180" i="14"/>
  <c r="G179" i="14"/>
  <c r="F179" i="14"/>
  <c r="G178" i="14"/>
  <c r="F178" i="14"/>
  <c r="G177" i="14"/>
  <c r="F177" i="14"/>
  <c r="G176" i="14"/>
  <c r="F176" i="14"/>
  <c r="G175" i="14"/>
  <c r="F175" i="14"/>
  <c r="G174" i="14"/>
  <c r="F174" i="14"/>
  <c r="G173" i="14"/>
  <c r="F173" i="14"/>
  <c r="G172" i="14"/>
  <c r="F172" i="14"/>
  <c r="G171" i="14"/>
  <c r="F171" i="14"/>
  <c r="D24" i="13"/>
  <c r="D20" i="13"/>
  <c r="E345" i="14" l="1"/>
  <c r="E339" i="14"/>
  <c r="D152" i="13" l="1"/>
  <c r="E253" i="14"/>
  <c r="E254" i="14" s="1"/>
  <c r="E251" i="14" s="1"/>
  <c r="E104" i="14"/>
  <c r="E101" i="14"/>
  <c r="E91" i="14"/>
  <c r="E83" i="14"/>
  <c r="E64" i="14"/>
  <c r="E57" i="14"/>
  <c r="E346" i="14" l="1"/>
  <c r="G112" i="14" l="1"/>
  <c r="E112" i="14" s="1"/>
  <c r="D22" i="13"/>
  <c r="D37" i="13" l="1"/>
  <c r="E340" i="14" l="1"/>
  <c r="E54" i="14" l="1"/>
  <c r="E349" i="14" l="1"/>
  <c r="E348" i="14" s="1"/>
  <c r="D60" i="13"/>
  <c r="D57" i="13"/>
  <c r="E47" i="14"/>
  <c r="E338" i="14" l="1"/>
  <c r="E344" i="14"/>
  <c r="E373" i="14"/>
  <c r="E354" i="14" l="1"/>
  <c r="E357" i="14"/>
  <c r="F352" i="14"/>
  <c r="F358" i="14" s="1"/>
  <c r="D110" i="13" l="1"/>
  <c r="D115" i="13" s="1"/>
  <c r="F368" i="14" l="1"/>
  <c r="E367" i="14"/>
  <c r="E366" i="14"/>
  <c r="E365" i="14"/>
  <c r="E364" i="14"/>
  <c r="E363" i="14"/>
  <c r="E362" i="14"/>
  <c r="E361" i="14"/>
  <c r="E360" i="14"/>
  <c r="E359" i="14"/>
  <c r="E355" i="14"/>
  <c r="E352" i="14"/>
  <c r="E353" i="14"/>
  <c r="E368" i="14" l="1"/>
  <c r="H250" i="14"/>
  <c r="F250" i="14"/>
  <c r="E249" i="14"/>
  <c r="E248" i="14"/>
  <c r="H247" i="14"/>
  <c r="F247" i="14"/>
  <c r="E246" i="14"/>
  <c r="E245" i="14"/>
  <c r="E250" i="14" l="1"/>
  <c r="E247" i="14"/>
  <c r="E243" i="14" s="1"/>
  <c r="D25" i="13" l="1"/>
  <c r="D136" i="13" l="1"/>
  <c r="E372" i="14" l="1"/>
  <c r="E371" i="14" s="1"/>
  <c r="F120" i="14" l="1"/>
  <c r="G120" i="14"/>
  <c r="E117" i="14"/>
  <c r="E118" i="14"/>
  <c r="E119" i="14"/>
  <c r="E116" i="14"/>
  <c r="F115" i="14"/>
  <c r="G115" i="14"/>
  <c r="E114" i="14"/>
  <c r="E113" i="14"/>
  <c r="F168" i="14"/>
  <c r="G168" i="14"/>
  <c r="H168" i="14"/>
  <c r="E167" i="14"/>
  <c r="E165" i="14"/>
  <c r="E166" i="14"/>
  <c r="E164" i="14"/>
  <c r="H163" i="14"/>
  <c r="F163" i="14"/>
  <c r="G163" i="14"/>
  <c r="E162" i="14"/>
  <c r="E163" i="14" s="1"/>
  <c r="H161" i="14"/>
  <c r="H160" i="14" s="1"/>
  <c r="G161" i="14"/>
  <c r="F161" i="14"/>
  <c r="D46" i="13"/>
  <c r="G111" i="14" l="1"/>
  <c r="F111" i="14"/>
  <c r="E110" i="14" s="1"/>
  <c r="E115" i="14"/>
  <c r="E168" i="14"/>
  <c r="E161" i="14"/>
  <c r="G160" i="14"/>
  <c r="E120" i="14"/>
  <c r="F160" i="14"/>
  <c r="E158" i="14" l="1"/>
  <c r="E149" i="14"/>
  <c r="D151" i="13" l="1"/>
  <c r="D148" i="13" s="1"/>
  <c r="D146" i="13" s="1"/>
  <c r="D56" i="13" l="1"/>
  <c r="D48" i="13" s="1"/>
  <c r="D47" i="13"/>
  <c r="D40" i="13" s="1"/>
  <c r="D29" i="13"/>
  <c r="E356" i="14"/>
  <c r="E358" i="14" s="1"/>
  <c r="E351" i="14" s="1"/>
  <c r="E377" i="14" s="1"/>
  <c r="E242" i="14" l="1"/>
  <c r="E241" i="14" s="1"/>
  <c r="E109" i="14" l="1"/>
  <c r="E62" i="14"/>
  <c r="E55" i="14" l="1"/>
  <c r="D35" i="13"/>
  <c r="D33" i="13"/>
  <c r="G240" i="14" l="1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185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71" i="14"/>
  <c r="E240" i="14" l="1"/>
  <c r="D15" i="13"/>
  <c r="D144" i="13"/>
  <c r="D143" i="13"/>
  <c r="D140" i="13" s="1"/>
  <c r="E123" i="14"/>
  <c r="D31" i="13"/>
  <c r="D27" i="13" s="1"/>
  <c r="E12" i="14" l="1"/>
  <c r="E46" i="14" l="1"/>
  <c r="E13" i="14" s="1"/>
  <c r="F137" i="14" l="1"/>
  <c r="G137" i="14"/>
  <c r="F157" i="14"/>
  <c r="G157" i="14"/>
  <c r="F122" i="14" l="1"/>
  <c r="G122" i="14"/>
  <c r="E184" i="14"/>
  <c r="F184" i="14"/>
  <c r="G184" i="14"/>
  <c r="G170" i="14" s="1"/>
  <c r="F240" i="14"/>
  <c r="F170" i="14" l="1"/>
  <c r="E169" i="14" s="1"/>
  <c r="E147" i="14"/>
  <c r="E255" i="14" l="1"/>
  <c r="E337" i="14" l="1"/>
  <c r="D138" i="13" l="1"/>
  <c r="D157" i="13" s="1"/>
  <c r="E150" i="14" l="1"/>
  <c r="E144" i="14"/>
  <c r="E141" i="14"/>
  <c r="E139" i="14" l="1"/>
  <c r="E140" i="14"/>
  <c r="E142" i="14"/>
  <c r="E143" i="14"/>
  <c r="E145" i="14"/>
  <c r="E146" i="14"/>
  <c r="E148" i="14"/>
  <c r="E151" i="14"/>
  <c r="E152" i="14"/>
  <c r="E153" i="14"/>
  <c r="E154" i="14"/>
  <c r="E155" i="14"/>
  <c r="E156" i="14"/>
  <c r="E138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24" i="14"/>
  <c r="D23" i="13" l="1"/>
  <c r="D21" i="13"/>
  <c r="D19" i="13"/>
  <c r="D17" i="13"/>
  <c r="D13" i="13"/>
  <c r="D156" i="13" s="1"/>
  <c r="D155" i="13" l="1"/>
  <c r="E11" i="14"/>
  <c r="E137" i="14" l="1"/>
  <c r="E271" i="14"/>
  <c r="E157" i="14"/>
  <c r="E121" i="14" l="1"/>
  <c r="E257" i="14"/>
  <c r="E376" i="14" l="1"/>
  <c r="E375" i="14" s="1"/>
</calcChain>
</file>

<file path=xl/sharedStrings.xml><?xml version="1.0" encoding="utf-8"?>
<sst xmlns="http://schemas.openxmlformats.org/spreadsheetml/2006/main" count="978" uniqueCount="294">
  <si>
    <t>04100000000</t>
  </si>
  <si>
    <t>Обласний бюджет</t>
  </si>
  <si>
    <t>Державний бюджет</t>
  </si>
  <si>
    <t>04501000000</t>
  </si>
  <si>
    <t>04502000000</t>
  </si>
  <si>
    <t>04503000000</t>
  </si>
  <si>
    <t>04504000000</t>
  </si>
  <si>
    <t>04506000000</t>
  </si>
  <si>
    <t>04507000000</t>
  </si>
  <si>
    <t>04508000000</t>
  </si>
  <si>
    <t>04510000000</t>
  </si>
  <si>
    <t>04511000000</t>
  </si>
  <si>
    <t>04512000000</t>
  </si>
  <si>
    <t>04513000000</t>
  </si>
  <si>
    <t>04514000000</t>
  </si>
  <si>
    <t>04515000000</t>
  </si>
  <si>
    <t>04518000000</t>
  </si>
  <si>
    <t>04519000000</t>
  </si>
  <si>
    <t>04521000000</t>
  </si>
  <si>
    <t>04524000000</t>
  </si>
  <si>
    <t>04527000000</t>
  </si>
  <si>
    <t>04529000000</t>
  </si>
  <si>
    <t>04530000000</t>
  </si>
  <si>
    <t>04531000000</t>
  </si>
  <si>
    <t>04532000000</t>
  </si>
  <si>
    <t>04533000000</t>
  </si>
  <si>
    <t>04509000000</t>
  </si>
  <si>
    <t>04550000000</t>
  </si>
  <si>
    <t>04549000000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</si>
  <si>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</si>
  <si>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</si>
  <si>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</si>
  <si>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</si>
  <si>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</si>
  <si>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</si>
  <si>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</si>
  <si>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</si>
  <si>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</si>
  <si>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</si>
  <si>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04556000000</t>
  </si>
  <si>
    <t>04520000000</t>
  </si>
  <si>
    <t>04526000000</t>
  </si>
  <si>
    <t>04551000000</t>
  </si>
  <si>
    <t>04516000000</t>
  </si>
  <si>
    <t>04525000000</t>
  </si>
  <si>
    <t>04552000000</t>
  </si>
  <si>
    <t>04523000000</t>
  </si>
  <si>
    <t>04505000000</t>
  </si>
  <si>
    <t>04547000000</t>
  </si>
  <si>
    <t>04553000000</t>
  </si>
  <si>
    <t>04555000000</t>
  </si>
  <si>
    <t>04557000000</t>
  </si>
  <si>
    <t>04558000000</t>
  </si>
  <si>
    <t>04559000000</t>
  </si>
  <si>
    <t>Реверсна дотація</t>
  </si>
  <si>
    <t>04554000000</t>
  </si>
  <si>
    <t>04560000000</t>
  </si>
  <si>
    <t>04536000000</t>
  </si>
  <si>
    <t>Код бюджету</t>
  </si>
  <si>
    <t>(код бюджету)</t>
  </si>
  <si>
    <t>04561000000</t>
  </si>
  <si>
    <t>04562000000</t>
  </si>
  <si>
    <t>з них</t>
  </si>
  <si>
    <t>на інклюзивно-ресурсні центри</t>
  </si>
  <si>
    <t>на приватні школи</t>
  </si>
  <si>
    <t>Додаток 5</t>
  </si>
  <si>
    <t>Бюджет Дубовиківської сільської територіальної громади</t>
  </si>
  <si>
    <t>04563000000</t>
  </si>
  <si>
    <t xml:space="preserve">Бюджет Глеюватської сільської територіальної громади </t>
  </si>
  <si>
    <t>04564000000</t>
  </si>
  <si>
    <t xml:space="preserve">Бюджет Затишнянської сільської територіальної громади </t>
  </si>
  <si>
    <t>04565000000</t>
  </si>
  <si>
    <t xml:space="preserve">Бюджет Магдалинівської селищної територіальної громади </t>
  </si>
  <si>
    <t>04566000000</t>
  </si>
  <si>
    <t xml:space="preserve">Бюджет Обухівської селищної територіальної громади </t>
  </si>
  <si>
    <t>04567000000</t>
  </si>
  <si>
    <t xml:space="preserve">Бюджет Чернеччинської сільської територіальної громади </t>
  </si>
  <si>
    <t>04568000000</t>
  </si>
  <si>
    <t xml:space="preserve">Бюджет Підгородненської міської територіальної громади </t>
  </si>
  <si>
    <t>04570000000</t>
  </si>
  <si>
    <t xml:space="preserve">Бюджет Черкаської селищної територіальної громади </t>
  </si>
  <si>
    <t>04571000000</t>
  </si>
  <si>
    <t xml:space="preserve">Бюджет Кам'янської міської територіальної громади </t>
  </si>
  <si>
    <t>04572000000</t>
  </si>
  <si>
    <t>Бюджет Брагинівської сільської територіальної громади</t>
  </si>
  <si>
    <t>04573000000</t>
  </si>
  <si>
    <t>Бюджет Верхівцівської міської територіальної громади</t>
  </si>
  <si>
    <t>04574000000</t>
  </si>
  <si>
    <t>Бюджет Вільногірської міської територіальної громади</t>
  </si>
  <si>
    <t>04575000000</t>
  </si>
  <si>
    <t>Бюджет Губиниської селищної територіальної громади</t>
  </si>
  <si>
    <t>04576000000</t>
  </si>
  <si>
    <t xml:space="preserve">Бюджет Дніпровської міської територіальної громади </t>
  </si>
  <si>
    <t>04577000000</t>
  </si>
  <si>
    <t>Бюджет Жовтоводської міської територіальної громади</t>
  </si>
  <si>
    <t>04578000000</t>
  </si>
  <si>
    <t>Бюджет Криворізької міської територіальної громади</t>
  </si>
  <si>
    <t>04579000000</t>
  </si>
  <si>
    <t>Бюджет Лозуватської сільської територіальної громади</t>
  </si>
  <si>
    <t>04580000000</t>
  </si>
  <si>
    <t>04581000000</t>
  </si>
  <si>
    <t>Бюджет Нікопольської міської територіальної громади</t>
  </si>
  <si>
    <t>04582000000</t>
  </si>
  <si>
    <t>Бюджет Новомосковської міської територіальної громади</t>
  </si>
  <si>
    <t>04583000000</t>
  </si>
  <si>
    <t>Бюджет Новопільської сільської територіальної громади</t>
  </si>
  <si>
    <t>04584000000</t>
  </si>
  <si>
    <t>Бюджет Павлоградської міської територіальної громади</t>
  </si>
  <si>
    <t>04585000000</t>
  </si>
  <si>
    <t>Бюджет Першотравенської міської територіальної громади</t>
  </si>
  <si>
    <t>04586000000</t>
  </si>
  <si>
    <t>Бюджет Петропавлівської селищної територіальної громади</t>
  </si>
  <si>
    <t>04587000000</t>
  </si>
  <si>
    <t>Бюджет Покровської сільської територіальної громади</t>
  </si>
  <si>
    <t>04588000000</t>
  </si>
  <si>
    <t>Бюджет П’ятихатської міської територіальної громади</t>
  </si>
  <si>
    <t>04589000000</t>
  </si>
  <si>
    <t>Бюджет Синельниківської міської територіальної громади</t>
  </si>
  <si>
    <t>04590000000</t>
  </si>
  <si>
    <t>Бюджет Слов'янської сільської територіальної громади</t>
  </si>
  <si>
    <t>04591000000</t>
  </si>
  <si>
    <t>Бюджет Тернівської міської територіальної громади</t>
  </si>
  <si>
    <t xml:space="preserve">Бюджет Марганецької міської територіальної громади </t>
  </si>
  <si>
    <t xml:space="preserve">Бюджет Покровської міської територіальної громади </t>
  </si>
  <si>
    <t>Бюджет Апостолівської міської територіальної громади</t>
  </si>
  <si>
    <t xml:space="preserve">Бюджет Богданівської сільської територіальної громади </t>
  </si>
  <si>
    <t xml:space="preserve">Бюджет Божедарівської селищної територіальної громади </t>
  </si>
  <si>
    <t xml:space="preserve">Бюджет Вербківської сільської територіальної громади </t>
  </si>
  <si>
    <t xml:space="preserve">Бюджет Святовасилівської сільської територіальної громади </t>
  </si>
  <si>
    <t xml:space="preserve">Бюджет Вакулівської сільської територіальної громади </t>
  </si>
  <si>
    <t xml:space="preserve">Бюджет Зеленодольської міської територіальної громади </t>
  </si>
  <si>
    <t xml:space="preserve">Бюджет Грушівської сільської територіальної громади </t>
  </si>
  <si>
    <t xml:space="preserve">Бюджет Ляшківської сільської територіальної громади </t>
  </si>
  <si>
    <t xml:space="preserve">Бюджет Могилівської сільської територіальної громади </t>
  </si>
  <si>
    <t xml:space="preserve">Бюджет Нивотрудівської сільської територіальної громади </t>
  </si>
  <si>
    <t xml:space="preserve">Бюджет Новопокровської селищної територіальної громади </t>
  </si>
  <si>
    <t xml:space="preserve">Бюджет Солонянської селищної територіальної громади </t>
  </si>
  <si>
    <t xml:space="preserve">Бюджет Сурсько-Литовської сільської територіальної громади </t>
  </si>
  <si>
    <t xml:space="preserve">Бюджет Слобожанської селищної територіальної громади </t>
  </si>
  <si>
    <t xml:space="preserve">Бюджет Мирівської сільської територіальної громади </t>
  </si>
  <si>
    <t xml:space="preserve">Бюджет Васильківської селищної територіальної громади </t>
  </si>
  <si>
    <t xml:space="preserve">Бюджет Вишнівської селищної територіальної громади </t>
  </si>
  <si>
    <t xml:space="preserve">Бюджет Криничанської селищної територіальної громади </t>
  </si>
  <si>
    <t xml:space="preserve">Бюджет Лихівської селищної територіальної громади </t>
  </si>
  <si>
    <t xml:space="preserve">Бюджет Покровської селищної територіальної громади </t>
  </si>
  <si>
    <t xml:space="preserve">Бюджет Роздорської селищної територіальної громади </t>
  </si>
  <si>
    <t xml:space="preserve">Бюджет Софіївської селищної  територіальної громади </t>
  </si>
  <si>
    <t xml:space="preserve">Бюджет Томаківської селищної територіальної громади </t>
  </si>
  <si>
    <t xml:space="preserve">Бюджет Царичанської селищної територіальної громади </t>
  </si>
  <si>
    <t xml:space="preserve">Бюджет Великомихайлівської сільської територіальної громади </t>
  </si>
  <si>
    <t xml:space="preserve">Бюджет Гречаноподівської сільської територіальної громади </t>
  </si>
  <si>
    <t xml:space="preserve">Бюджет Маломихайлівської сільської територіальної громади </t>
  </si>
  <si>
    <t xml:space="preserve">Бюджет Новолатівської сільської територіальної громади </t>
  </si>
  <si>
    <t xml:space="preserve">Бюджет Новопавлівської сільської територіальної громади </t>
  </si>
  <si>
    <t xml:space="preserve">Бюджет Верхньодніпровської міської територіальної громади  </t>
  </si>
  <si>
    <t xml:space="preserve">Бюджет Межівської селищної територіальної громади </t>
  </si>
  <si>
    <t xml:space="preserve">Бюджет Червоногригорівської селищної територіальної громади </t>
  </si>
  <si>
    <t xml:space="preserve">Бюджет Троїцької сільської територіальної громади </t>
  </si>
  <si>
    <t xml:space="preserve">Бюджет Петриківської селищної територіальної громади </t>
  </si>
  <si>
    <t xml:space="preserve">Бюджет Раївської сільської територіальної громади </t>
  </si>
  <si>
    <t xml:space="preserve">Бюджет Іларіонівської селищної територіальної громади </t>
  </si>
  <si>
    <t xml:space="preserve">Бюджет Славгородської селищної територіальної громади </t>
  </si>
  <si>
    <t xml:space="preserve">Бюджет Китайгородської сільської територіальної громади </t>
  </si>
  <si>
    <t xml:space="preserve">Бюджет Карпівської сільської територіальної громади </t>
  </si>
  <si>
    <t xml:space="preserve">Бюджет Широківської селищної територіальної громади </t>
  </si>
  <si>
    <t xml:space="preserve">Бюджет Юр’ївської селищної територіальної громади </t>
  </si>
  <si>
    <t xml:space="preserve">Бюджет Любимівської сільської територіальної громади </t>
  </si>
  <si>
    <t xml:space="preserve">Бюджет Української сільської територіальної громади </t>
  </si>
  <si>
    <t xml:space="preserve">Бюджет Саксаганської сільської територіальної громади </t>
  </si>
  <si>
    <t xml:space="preserve">Бюджет Девладівської сільської територіальної громади </t>
  </si>
  <si>
    <t>Бюджет Личківської сільської територіальної громади</t>
  </si>
  <si>
    <t>Бюджет Перещепинської міської територіальної громади</t>
  </si>
  <si>
    <t>Бюджет Піщанської сільської територіальної громади</t>
  </si>
  <si>
    <t>Бюджет Чумаківської сільської територіальної громади</t>
  </si>
  <si>
    <t xml:space="preserve">Бюджет Першотравневської сільської територіальної громади </t>
  </si>
  <si>
    <t xml:space="preserve">Бюджет Межиріцької сільської територіальної громади </t>
  </si>
  <si>
    <t xml:space="preserve">Бюджет Новоолександрівської сільської територіальної громади </t>
  </si>
  <si>
    <t>Разом по бюджетах  територіальних громад</t>
  </si>
  <si>
    <t>Усього</t>
  </si>
  <si>
    <t>загальний фонд</t>
  </si>
  <si>
    <t>спеціальний фонд</t>
  </si>
  <si>
    <t xml:space="preserve">Найменування трансферту /
Найменування бюджету – надавача міжбюджетного трансферту
                                                                                 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</si>
  <si>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</si>
  <si>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</si>
  <si>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</si>
  <si>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3719130</t>
  </si>
  <si>
    <t>0919270</t>
  </si>
  <si>
    <t>0619310</t>
  </si>
  <si>
    <t>0119770</t>
  </si>
  <si>
    <t>0819770</t>
  </si>
  <si>
    <t>УСЬОГО за розділами І,ІІ, у тому числі:</t>
  </si>
  <si>
    <t>Код Програмної класифікації видатків та кредитування місцевого бюджету / Код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</si>
  <si>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</si>
  <si>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</si>
  <si>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0619330</t>
  </si>
  <si>
    <t>Освітня субвенція з державного бюджету місцевим бюджетам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</si>
  <si>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</si>
  <si>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</si>
  <si>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</si>
  <si>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</si>
  <si>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 xml:space="preserve"> І. Трансферти із загального фонду бюджету</t>
  </si>
  <si>
    <t>1. Показники міжбюджетних трансфертів з інших бюджетів</t>
  </si>
  <si>
    <t xml:space="preserve"> І. Трансферти до загального фонду бюджету</t>
  </si>
  <si>
    <t xml:space="preserve"> ІІ. Трансферти до спеціального фонду бюджету</t>
  </si>
  <si>
    <t>3719110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</si>
  <si>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</si>
  <si>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 xml:space="preserve">Разом по бюджетах міських територіальних громад з адміністративним центром у місті обласного значення </t>
  </si>
  <si>
    <t>Код Класифікації доходу бюджету /
Код бюджету</t>
  </si>
  <si>
    <t xml:space="preserve">Бюджет Миколаївської сільської територіальної громади (Синельниківський район) </t>
  </si>
  <si>
    <t>Бюджет Миколаївської сільської територіальної громади (Дніпровський район)</t>
  </si>
  <si>
    <t>Бюджет Верхньодніпровської міської територіальної громади</t>
  </si>
  <si>
    <t xml:space="preserve">Бюджет Лозуватської сільської територіальної громади </t>
  </si>
  <si>
    <t>Бюджет Покровської селищної територіальної громади</t>
  </si>
  <si>
    <t>Бюджет Зайцівської сільської територіальної громади</t>
  </si>
  <si>
    <t>3719150</t>
  </si>
  <si>
    <t xml:space="preserve">Інші дотації з місцевого бюджету </t>
  </si>
  <si>
    <t>Субвенція з обласного бюджету бюджетам територіальних громад на виконання доручень виборців депутатами обласної ради у 2022 році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</si>
  <si>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</si>
  <si>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</si>
  <si>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</si>
  <si>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 xml:space="preserve">Бюджет Верхівцівської міської територіальної громади  </t>
  </si>
  <si>
    <t>04522000000</t>
  </si>
  <si>
    <t>Інші субвенції з місцевого бюджету,</t>
  </si>
  <si>
    <t>у тому числі:</t>
  </si>
  <si>
    <t>на утримання осіб з інвалідністю міста Дніпра, які мають розлади спектру аутизму</t>
  </si>
  <si>
    <t xml:space="preserve"> видатки споживання</t>
  </si>
  <si>
    <t>видатки розвитку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</si>
  <si>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</si>
  <si>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Бюджет Лихівської селищної територіальної громади</t>
  </si>
  <si>
    <t>41053700</t>
  </si>
  <si>
    <t>Субвенція з місцевого бюджету на співфінансування інвестиційних проектів</t>
  </si>
  <si>
    <t>Додаткова дотація з державного бюджету місцевим бюджетам 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</si>
  <si>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на забезпечення роботи постійно діючих позаштатних військово-лікарських комісій районних територіальних центрів комплектування та соціальної підтримки</t>
  </si>
  <si>
    <t>на забезпечення офтальмологічної допомоги населенню міста</t>
  </si>
  <si>
    <t>Бюджет Затишнянської сільської територіальної громади</t>
  </si>
  <si>
    <t xml:space="preserve">Бюджет Слов’янської сільської територіальної громади </t>
  </si>
  <si>
    <t xml:space="preserve">Бюджет Софіївської селищної територіальної громади </t>
  </si>
  <si>
    <t xml:space="preserve">  Міжбюджетні трансферти на 2022 рік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</si>
  <si>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</si>
  <si>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1619521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</si>
  <si>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</si>
  <si>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 xml:space="preserve"> ІІ. Трансферти із спеціального фонду бюджету</t>
  </si>
  <si>
    <t>Субвенція з обласного бюджету місцевим бюджетам на забезпечення централізованою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</t>
  </si>
  <si>
    <t>0719770</t>
  </si>
  <si>
    <t>на видатки розвитку</t>
  </si>
  <si>
    <t>на виконання лабораторних досліджень комунальним закладом "Дніпропетровське обласне бюро судово-медичної експертизи" Дніпропетровської обласної ради"</t>
  </si>
  <si>
    <t>05100000000</t>
  </si>
  <si>
    <t>Обласний бюджет Донецької області</t>
  </si>
  <si>
    <t>для забезпечення надання комплексних соціальних послуг КЗ „Центр соціальної підтримки „Добре вдома” ДОР”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</si>
  <si>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</si>
  <si>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</si>
  <si>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</si>
  <si>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придбання обладнання для оснащення ресурсних кімнат </t>
  </si>
  <si>
    <t>забезпечення створення належних санітарно-гігієнічних умов у приміщеннях закладів загальної середньої освіти</t>
  </si>
  <si>
    <t>на забезпечення поповнення регіонального матеріального резерву для запобігання та ліквідації наслідків надзвичайних ситуацій</t>
  </si>
  <si>
    <t>видатки розвитку, в тому числі:</t>
  </si>
  <si>
    <t>2819800</t>
  </si>
  <si>
    <t>Субвенція з місцевого бюджету державному бюджету на виконання програм соціально-економічного розвитку регіонів</t>
  </si>
  <si>
    <t>природоохоронні заходи</t>
  </si>
  <si>
    <t xml:space="preserve">до рішення обласної ради </t>
  </si>
  <si>
    <t xml:space="preserve">Перший заступник голови обласної ради </t>
  </si>
  <si>
    <t>Г.  ГУФМАН</t>
  </si>
  <si>
    <t>на співфінансування придбання мультифункціональних спортивних майданчиків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</si>
  <si>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</si>
  <si>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</si>
  <si>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0219620</t>
  </si>
  <si>
    <t>видатки споживання, в тому числі:</t>
  </si>
  <si>
    <t xml:space="preserve"> на підготовку і проведення позачергових місцевих виборів</t>
  </si>
  <si>
    <t xml:space="preserve"> на виготовлення органами ведення Державного реєстру виборців списків виборців та іменних запрошень для підготовки і проведення позачергових місцевих виборів</t>
  </si>
  <si>
    <t>04309200000</t>
  </si>
  <si>
    <t>Районний бюджет Нікопольського району</t>
  </si>
  <si>
    <t>04316200000</t>
  </si>
  <si>
    <t>Районний бюджет Синельниківського району</t>
  </si>
  <si>
    <t>Разом по бюджетах районів</t>
  </si>
  <si>
    <t>04545000000</t>
  </si>
  <si>
    <t>УСЬОГО за розділами І, ІІ, у тому числі: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</si>
  <si>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</si>
  <si>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 xml:space="preserve">Бюджет Жовтоводської міської територіальної громади </t>
  </si>
  <si>
    <t>Бюджет Покровської міської територіальної громади</t>
  </si>
  <si>
    <t>2919800</t>
  </si>
  <si>
    <t>2219800</t>
  </si>
  <si>
    <t>на забезпечення потреб оборони під час дії правового режиму воєнного стану в Україні</t>
  </si>
  <si>
    <t>0619800</t>
  </si>
  <si>
    <t xml:space="preserve">Бюджет Миколаївської сільської територіальної громади (Дніпровський район) </t>
  </si>
  <si>
    <t>0719410</t>
  </si>
  <si>
    <t>Субвенція з місцевого бюджету на закупівлю опорними закладами охорони здоров’я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</si>
  <si>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41058400</t>
  </si>
  <si>
    <t xml:space="preserve">Бюджет Покровської сільської територіальної громади </t>
  </si>
  <si>
    <t>грн</t>
  </si>
  <si>
    <t>Комунальному підприємству „Обласний центр екстреної медичної допомоги та медицини катастроф” Дніпропетровської обласної ради для удосконалення надання екстреної медичної допомоги</t>
  </si>
  <si>
    <t xml:space="preserve">Бюджет Кам’янської міської територіальної громади </t>
  </si>
  <si>
    <t>на заходи програми „Регіональна програма забезпечення громадського порядку та громадської безпеки на території Дніпропетровської області на період до 2025 року„</t>
  </si>
  <si>
    <t>на заходи програми „Регіональна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2021-2025 роки”</t>
  </si>
  <si>
    <t>на виконання заходів регіональної цільової соціальної програми „Освіта Дніпропетровщини до 2024 року”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</si>
</sst>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₴_-;\-* #,##0.00\ _₴_-;_-* &quot;-&quot;??\ _₴_-;_-@_-"/>
    <numFmt numFmtId="165" formatCode="#,##0.0000000_ ;\-#,##0.0000000\ "/>
  </numFmts>
  <fonts count="1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/>
    <xf numFmtId="4" fontId="3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49" fontId="2" fillId="0" borderId="1" xfId="0" applyNumberFormat="1" applyFont="1" applyFill="1" applyBorder="1" applyAlignment="1">
      <alignment horizontal="left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3" fillId="0" borderId="0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4" fontId="6" fillId="0" borderId="0" xfId="0" applyNumberFormat="1" applyFont="1" applyFill="1" applyBorder="1"/>
    <xf numFmtId="0" fontId="12" fillId="0" borderId="0" xfId="0" applyFont="1" applyFill="1"/>
    <xf numFmtId="4" fontId="2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4" fontId="9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4" fontId="9" fillId="0" borderId="0" xfId="0" applyNumberFormat="1" applyFont="1" applyFill="1" applyBorder="1"/>
    <xf numFmtId="49" fontId="3" fillId="0" borderId="4" xfId="0" applyNumberFormat="1" applyFont="1" applyFill="1" applyBorder="1" applyAlignment="1"/>
    <xf numFmtId="49" fontId="3" fillId="0" borderId="5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 vertical="center" wrapText="1"/>
    </xf>
    <xf numFmtId="165" fontId="9" fillId="0" borderId="0" xfId="5" applyNumberFormat="1" applyFont="1" applyFill="1" applyBorder="1"/>
    <xf numFmtId="164" fontId="9" fillId="0" borderId="0" xfId="5" applyFont="1" applyFill="1" applyBorder="1"/>
    <xf numFmtId="164" fontId="7" fillId="0" borderId="0" xfId="5" applyFont="1" applyFill="1"/>
    <xf numFmtId="4" fontId="7" fillId="0" borderId="0" xfId="0" applyNumberFormat="1" applyFont="1" applyFill="1" applyBorder="1"/>
    <xf numFmtId="4" fontId="3" fillId="0" borderId="12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/>
    <xf numFmtId="4" fontId="7" fillId="0" borderId="0" xfId="0" applyNumberFormat="1" applyFont="1" applyFill="1" applyBorder="1" applyAlignment="1">
      <alignment horizontal="left"/>
    </xf>
    <xf numFmtId="1" fontId="13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9" fillId="0" borderId="4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6">
    <cellStyle name="Normal_Доходи" xfId="1"/>
    <cellStyle name="Обычный" xfId="0" builtinId="0"/>
    <cellStyle name="Обычный 2" xfId="2"/>
    <cellStyle name="Обычный 4" xfId="3"/>
    <cellStyle name="Обычный 5" xfId="4"/>
    <cellStyle name="Финансовый" xfId="5" builtinId="3"/>
  </cellStyles>
  <dxfs count="0"/>
  <tableStyles count="0" defaultTableStyle="TableStyleMedium2" defaultPivotStyle="PivotStyleLight16"/>
  <colors>
    <mruColors>
      <color rgb="FFFF9966"/>
      <color rgb="FFCC99FF"/>
      <color rgb="FFFF33CC"/>
      <color rgb="FF00FF99"/>
      <color rgb="FF669900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showZeros="0" view="pageBreakPreview" zoomScale="60" zoomScaleNormal="25" workbookViewId="0">
      <pane xSplit="3" ySplit="11" topLeftCell="D12" activePane="bottomRight" state="frozen"/>
      <selection activeCell="E266" sqref="E266"/>
      <selection pane="topRight" activeCell="E266" sqref="E266"/>
      <selection pane="bottomLeft" activeCell="E266" sqref="E266"/>
      <selection pane="bottomRight" activeCell="F25" sqref="F25"/>
    </sheetView>
  </sheetViews>
  <sheetFormatPr defaultColWidth="9.140625" defaultRowHeight="18.75" x14ac:dyDescent="0.3"/>
  <cols>
    <col min="1" max="1" width="22.42578125" style="80" customWidth="1"/>
    <col min="2" max="2" width="132" style="28" customWidth="1"/>
    <col min="3" max="3" width="27.140625" style="28" customWidth="1"/>
    <col min="4" max="4" width="30.140625" style="28" customWidth="1"/>
    <col min="5" max="5" width="22.28515625" style="28" bestFit="1" customWidth="1"/>
    <col min="6" max="6" width="28.28515625" style="28" customWidth="1"/>
    <col min="7" max="7" width="27.5703125" style="28" customWidth="1"/>
    <col min="8" max="16384" width="9.140625" style="28"/>
  </cols>
  <sheetData>
    <row r="1" spans="1:4" x14ac:dyDescent="0.3">
      <c r="C1" s="78" t="s">
        <v>65</v>
      </c>
    </row>
    <row r="2" spans="1:4" x14ac:dyDescent="0.3">
      <c r="C2" s="77" t="s">
        <v>259</v>
      </c>
      <c r="D2" s="77"/>
    </row>
    <row r="4" spans="1:4" ht="27.75" customHeight="1" x14ac:dyDescent="0.3">
      <c r="A4" s="114" t="s">
        <v>237</v>
      </c>
      <c r="B4" s="114"/>
      <c r="C4" s="114"/>
      <c r="D4" s="114"/>
    </row>
    <row r="5" spans="1:4" ht="33" customHeight="1" x14ac:dyDescent="0.3">
      <c r="B5" s="117" t="s">
        <v>0</v>
      </c>
      <c r="C5" s="117"/>
    </row>
    <row r="6" spans="1:4" x14ac:dyDescent="0.3">
      <c r="B6" s="118" t="s">
        <v>59</v>
      </c>
      <c r="C6" s="118"/>
    </row>
    <row r="7" spans="1:4" x14ac:dyDescent="0.3">
      <c r="A7" s="115" t="s">
        <v>201</v>
      </c>
      <c r="B7" s="115"/>
      <c r="C7" s="115"/>
      <c r="D7" s="115"/>
    </row>
    <row r="8" spans="1:4" x14ac:dyDescent="0.3">
      <c r="A8" s="81"/>
      <c r="B8" s="55"/>
      <c r="C8" s="55"/>
      <c r="D8" s="29" t="s">
        <v>288</v>
      </c>
    </row>
    <row r="9" spans="1:4" s="30" customFormat="1" x14ac:dyDescent="0.3">
      <c r="A9" s="119" t="s">
        <v>207</v>
      </c>
      <c r="B9" s="116" t="s">
        <v>181</v>
      </c>
      <c r="C9" s="116"/>
      <c r="D9" s="116" t="s">
        <v>178</v>
      </c>
    </row>
    <row r="10" spans="1:4" s="30" customFormat="1" x14ac:dyDescent="0.3">
      <c r="A10" s="119"/>
      <c r="B10" s="116"/>
      <c r="C10" s="116"/>
      <c r="D10" s="116"/>
    </row>
    <row r="11" spans="1:4" s="30" customFormat="1" ht="41.25" customHeight="1" x14ac:dyDescent="0.3">
      <c r="A11" s="119"/>
      <c r="B11" s="116"/>
      <c r="C11" s="116"/>
      <c r="D11" s="116"/>
    </row>
    <row r="12" spans="1:4" s="31" customFormat="1" ht="39.950000000000003" customHeight="1" x14ac:dyDescent="0.3">
      <c r="A12" s="120" t="s">
        <v>202</v>
      </c>
      <c r="B12" s="121"/>
      <c r="C12" s="121"/>
      <c r="D12" s="122"/>
    </row>
    <row r="13" spans="1:4" s="31" customFormat="1" ht="39.75" customHeight="1" x14ac:dyDescent="0.3">
      <c r="A13" s="83">
        <v>41020200</v>
      </c>
      <c r="B13" s="98" t="s">
        <v>217</v>
      </c>
      <c r="C13" s="99"/>
      <c r="D13" s="32">
        <f>D14</f>
        <v>186952500</v>
      </c>
    </row>
    <row r="14" spans="1:4" s="31" customFormat="1" ht="33" customHeight="1" x14ac:dyDescent="0.3">
      <c r="A14" s="84">
        <v>99000000000</v>
      </c>
      <c r="B14" s="54" t="s">
        <v>2</v>
      </c>
      <c r="C14" s="53"/>
      <c r="D14" s="33">
        <v>186952500</v>
      </c>
    </row>
    <row r="15" spans="1:4" s="31" customFormat="1" ht="71.25" customHeight="1" x14ac:dyDescent="0.3">
      <c r="A15" s="83">
        <v>41021100</v>
      </c>
      <c r="B15" s="98" t="s">
        <v>231</v>
      </c>
      <c r="C15" s="99"/>
      <c r="D15" s="32">
        <f>D16</f>
        <v>102301100</v>
      </c>
    </row>
    <row r="16" spans="1:4" s="31" customFormat="1" ht="33" customHeight="1" x14ac:dyDescent="0.3">
      <c r="A16" s="84">
        <v>99000000000</v>
      </c>
      <c r="B16" s="54" t="s">
        <v>2</v>
      </c>
      <c r="C16" s="53"/>
      <c r="D16" s="33">
        <v>102301100</v>
      </c>
    </row>
    <row r="17" spans="1:6" s="31" customFormat="1" ht="39.75" customHeight="1" x14ac:dyDescent="0.3">
      <c r="A17" s="83">
        <v>41033000</v>
      </c>
      <c r="B17" s="109" t="s">
        <v>218</v>
      </c>
      <c r="C17" s="109"/>
      <c r="D17" s="32">
        <f>D18</f>
        <v>180772700</v>
      </c>
    </row>
    <row r="18" spans="1:6" s="31" customFormat="1" ht="33" customHeight="1" x14ac:dyDescent="0.3">
      <c r="A18" s="84">
        <v>99000000000</v>
      </c>
      <c r="B18" s="54" t="s">
        <v>2</v>
      </c>
      <c r="C18" s="53"/>
      <c r="D18" s="33">
        <v>180772700</v>
      </c>
    </row>
    <row r="19" spans="1:6" s="31" customFormat="1" ht="27.75" customHeight="1" x14ac:dyDescent="0.3">
      <c r="A19" s="83">
        <v>41033900</v>
      </c>
      <c r="B19" s="49" t="s">
        <v>195</v>
      </c>
      <c r="C19" s="53"/>
      <c r="D19" s="32">
        <f>D20</f>
        <v>729865900</v>
      </c>
    </row>
    <row r="20" spans="1:6" s="31" customFormat="1" ht="33" customHeight="1" x14ac:dyDescent="0.3">
      <c r="A20" s="84">
        <v>99000000000</v>
      </c>
      <c r="B20" s="54" t="s">
        <v>2</v>
      </c>
      <c r="C20" s="53"/>
      <c r="D20" s="33">
        <f>786213300+24748800-81096200</f>
        <v>729865900</v>
      </c>
    </row>
    <row r="21" spans="1:6" s="31" customFormat="1" ht="66.75" customHeight="1" x14ac:dyDescent="0.3">
      <c r="A21" s="83">
        <v>41034400</v>
      </c>
      <c r="B21" s="98" t="s">
        <v>196</v>
      </c>
      <c r="C21" s="99"/>
      <c r="D21" s="32">
        <f>D22</f>
        <v>11289600</v>
      </c>
    </row>
    <row r="22" spans="1:6" s="31" customFormat="1" ht="33" customHeight="1" x14ac:dyDescent="0.3">
      <c r="A22" s="84">
        <v>99000000000</v>
      </c>
      <c r="B22" s="54" t="s">
        <v>2</v>
      </c>
      <c r="C22" s="53"/>
      <c r="D22" s="33">
        <f>101864600-90575000</f>
        <v>11289600</v>
      </c>
    </row>
    <row r="23" spans="1:6" s="31" customFormat="1" ht="42.75" customHeight="1" x14ac:dyDescent="0.3">
      <c r="A23" s="83">
        <v>41035400</v>
      </c>
      <c r="B23" s="98" t="s">
        <v>197</v>
      </c>
      <c r="C23" s="99"/>
      <c r="D23" s="32">
        <f>D24</f>
        <v>29609800</v>
      </c>
    </row>
    <row r="24" spans="1:6" s="31" customFormat="1" ht="33" customHeight="1" x14ac:dyDescent="0.3">
      <c r="A24" s="84">
        <v>99000000000</v>
      </c>
      <c r="B24" s="54" t="s">
        <v>2</v>
      </c>
      <c r="C24" s="53"/>
      <c r="D24" s="33">
        <f>32899600-3289800</f>
        <v>29609800</v>
      </c>
    </row>
    <row r="25" spans="1:6" s="31" customFormat="1" ht="42.75" customHeight="1" x14ac:dyDescent="0.3">
      <c r="A25" s="83">
        <v>41037000</v>
      </c>
      <c r="B25" s="98" t="s">
        <v>264</v>
      </c>
      <c r="C25" s="99"/>
      <c r="D25" s="32">
        <f>D26</f>
        <v>909200</v>
      </c>
    </row>
    <row r="26" spans="1:6" s="31" customFormat="1" ht="33" customHeight="1" x14ac:dyDescent="0.3">
      <c r="A26" s="84">
        <v>99000000000</v>
      </c>
      <c r="B26" s="54" t="s">
        <v>2</v>
      </c>
      <c r="C26" s="53"/>
      <c r="D26" s="33">
        <v>909200</v>
      </c>
    </row>
    <row r="27" spans="1:6" s="31" customFormat="1" ht="33" customHeight="1" x14ac:dyDescent="0.3">
      <c r="A27" s="83">
        <v>41053900</v>
      </c>
      <c r="B27" s="49" t="s">
        <v>222</v>
      </c>
      <c r="C27" s="53"/>
      <c r="D27" s="32">
        <f>D31+D33+D35+D29+D40+D48+D116</f>
        <v>20052010</v>
      </c>
      <c r="F27" s="34"/>
    </row>
    <row r="28" spans="1:6" s="31" customFormat="1" ht="33" customHeight="1" x14ac:dyDescent="0.3">
      <c r="A28" s="84"/>
      <c r="B28" s="54" t="s">
        <v>223</v>
      </c>
      <c r="C28" s="53"/>
      <c r="D28" s="33"/>
    </row>
    <row r="29" spans="1:6" s="31" customFormat="1" ht="44.25" customHeight="1" x14ac:dyDescent="0.3">
      <c r="A29" s="84"/>
      <c r="B29" s="98" t="s">
        <v>245</v>
      </c>
      <c r="C29" s="99"/>
      <c r="D29" s="32">
        <f>D30</f>
        <v>3276300</v>
      </c>
    </row>
    <row r="30" spans="1:6" s="31" customFormat="1" ht="33" customHeight="1" x14ac:dyDescent="0.3">
      <c r="A30" s="82" t="s">
        <v>246</v>
      </c>
      <c r="B30" s="112" t="s">
        <v>247</v>
      </c>
      <c r="C30" s="113"/>
      <c r="D30" s="33">
        <v>3276300</v>
      </c>
    </row>
    <row r="31" spans="1:6" s="31" customFormat="1" ht="33" customHeight="1" x14ac:dyDescent="0.3">
      <c r="A31" s="84"/>
      <c r="B31" s="98" t="s">
        <v>224</v>
      </c>
      <c r="C31" s="99"/>
      <c r="D31" s="32">
        <f>2188161</f>
        <v>2188161</v>
      </c>
    </row>
    <row r="32" spans="1:6" s="31" customFormat="1" ht="33" customHeight="1" x14ac:dyDescent="0.3">
      <c r="A32" s="82" t="s">
        <v>91</v>
      </c>
      <c r="B32" s="112" t="s">
        <v>92</v>
      </c>
      <c r="C32" s="113"/>
      <c r="D32" s="33">
        <v>2188161</v>
      </c>
    </row>
    <row r="33" spans="1:6" s="31" customFormat="1" ht="55.5" customHeight="1" x14ac:dyDescent="0.3">
      <c r="A33" s="82"/>
      <c r="B33" s="98" t="s">
        <v>232</v>
      </c>
      <c r="C33" s="99"/>
      <c r="D33" s="32">
        <f>D34</f>
        <v>1791658</v>
      </c>
    </row>
    <row r="34" spans="1:6" s="31" customFormat="1" ht="33" customHeight="1" x14ac:dyDescent="0.3">
      <c r="A34" s="85" t="s">
        <v>95</v>
      </c>
      <c r="B34" s="97" t="s">
        <v>96</v>
      </c>
      <c r="C34" s="97"/>
      <c r="D34" s="33">
        <v>1791658</v>
      </c>
    </row>
    <row r="35" spans="1:6" s="31" customFormat="1" ht="33" customHeight="1" x14ac:dyDescent="0.3">
      <c r="A35" s="85"/>
      <c r="B35" s="98" t="s">
        <v>233</v>
      </c>
      <c r="C35" s="99"/>
      <c r="D35" s="32">
        <f>D36</f>
        <v>8762710</v>
      </c>
    </row>
    <row r="36" spans="1:6" s="31" customFormat="1" ht="33" customHeight="1" x14ac:dyDescent="0.3">
      <c r="A36" s="85" t="s">
        <v>95</v>
      </c>
      <c r="B36" s="97" t="s">
        <v>96</v>
      </c>
      <c r="C36" s="97"/>
      <c r="D36" s="33">
        <v>8762710</v>
      </c>
    </row>
    <row r="37" spans="1:6" s="31" customFormat="1" ht="33" customHeight="1" x14ac:dyDescent="0.3">
      <c r="A37" s="85"/>
      <c r="B37" s="98" t="s">
        <v>281</v>
      </c>
      <c r="C37" s="99"/>
      <c r="D37" s="32">
        <f>D39+D38</f>
        <v>45000000</v>
      </c>
    </row>
    <row r="38" spans="1:6" s="31" customFormat="1" ht="33" customHeight="1" x14ac:dyDescent="0.3">
      <c r="A38" s="85" t="s">
        <v>91</v>
      </c>
      <c r="B38" s="97" t="s">
        <v>92</v>
      </c>
      <c r="C38" s="97"/>
      <c r="D38" s="33">
        <v>25000000</v>
      </c>
    </row>
    <row r="39" spans="1:6" s="31" customFormat="1" ht="33" customHeight="1" x14ac:dyDescent="0.3">
      <c r="A39" s="85" t="s">
        <v>95</v>
      </c>
      <c r="B39" s="97" t="s">
        <v>96</v>
      </c>
      <c r="C39" s="97"/>
      <c r="D39" s="33">
        <f>100000000-80000000</f>
        <v>20000000</v>
      </c>
    </row>
    <row r="40" spans="1:6" s="35" customFormat="1" ht="38.450000000000003" customHeight="1" x14ac:dyDescent="0.3">
      <c r="A40" s="86"/>
      <c r="B40" s="98" t="s">
        <v>248</v>
      </c>
      <c r="C40" s="111"/>
      <c r="D40" s="32">
        <f>D47</f>
        <v>1799786</v>
      </c>
      <c r="F40" s="36"/>
    </row>
    <row r="41" spans="1:6" s="30" customFormat="1" ht="33" customHeight="1" x14ac:dyDescent="0.3">
      <c r="A41" s="85" t="s">
        <v>17</v>
      </c>
      <c r="B41" s="97" t="s">
        <v>140</v>
      </c>
      <c r="C41" s="97"/>
      <c r="D41" s="33">
        <v>44546</v>
      </c>
    </row>
    <row r="42" spans="1:6" s="30" customFormat="1" ht="33" customHeight="1" x14ac:dyDescent="0.3">
      <c r="A42" s="85" t="s">
        <v>11</v>
      </c>
      <c r="B42" s="97" t="s">
        <v>176</v>
      </c>
      <c r="C42" s="97"/>
      <c r="D42" s="33">
        <v>500000</v>
      </c>
    </row>
    <row r="43" spans="1:6" s="30" customFormat="1" ht="33" customHeight="1" x14ac:dyDescent="0.3">
      <c r="A43" s="85" t="s">
        <v>73</v>
      </c>
      <c r="B43" s="101" t="s">
        <v>74</v>
      </c>
      <c r="C43" s="102"/>
      <c r="D43" s="33">
        <v>100000</v>
      </c>
    </row>
    <row r="44" spans="1:6" s="30" customFormat="1" ht="33" customHeight="1" x14ac:dyDescent="0.3">
      <c r="A44" s="85" t="s">
        <v>114</v>
      </c>
      <c r="B44" s="97" t="s">
        <v>115</v>
      </c>
      <c r="C44" s="97"/>
      <c r="D44" s="33">
        <v>405240</v>
      </c>
    </row>
    <row r="45" spans="1:6" s="30" customFormat="1" ht="33" customHeight="1" x14ac:dyDescent="0.3">
      <c r="A45" s="85" t="s">
        <v>15</v>
      </c>
      <c r="B45" s="97" t="s">
        <v>138</v>
      </c>
      <c r="C45" s="97"/>
      <c r="D45" s="33">
        <v>500000</v>
      </c>
    </row>
    <row r="46" spans="1:6" s="30" customFormat="1" ht="33" customHeight="1" x14ac:dyDescent="0.3">
      <c r="A46" s="85" t="s">
        <v>14</v>
      </c>
      <c r="B46" s="97" t="s">
        <v>137</v>
      </c>
      <c r="C46" s="97"/>
      <c r="D46" s="33">
        <f>180000+70000</f>
        <v>250000</v>
      </c>
    </row>
    <row r="47" spans="1:6" s="30" customFormat="1" ht="33" customHeight="1" x14ac:dyDescent="0.3">
      <c r="A47" s="103" t="s">
        <v>177</v>
      </c>
      <c r="B47" s="104"/>
      <c r="C47" s="105"/>
      <c r="D47" s="32">
        <f>SUM(D41:D46)</f>
        <v>1799786</v>
      </c>
    </row>
    <row r="48" spans="1:6" s="30" customFormat="1" ht="43.5" customHeight="1" x14ac:dyDescent="0.3">
      <c r="A48" s="82"/>
      <c r="B48" s="100" t="s">
        <v>254</v>
      </c>
      <c r="C48" s="100"/>
      <c r="D48" s="32">
        <f>D56+D115</f>
        <v>2057710</v>
      </c>
      <c r="F48" s="44"/>
    </row>
    <row r="49" spans="1:4" s="30" customFormat="1" ht="33" customHeight="1" x14ac:dyDescent="0.3">
      <c r="A49" s="85" t="s">
        <v>87</v>
      </c>
      <c r="B49" s="97" t="s">
        <v>88</v>
      </c>
      <c r="C49" s="97"/>
      <c r="D49" s="33">
        <v>47582</v>
      </c>
    </row>
    <row r="50" spans="1:4" s="30" customFormat="1" ht="33" customHeight="1" x14ac:dyDescent="0.3">
      <c r="A50" s="85" t="s">
        <v>93</v>
      </c>
      <c r="B50" s="97" t="s">
        <v>94</v>
      </c>
      <c r="C50" s="97"/>
      <c r="D50" s="33">
        <v>88844</v>
      </c>
    </row>
    <row r="51" spans="1:4" s="30" customFormat="1" ht="33" customHeight="1" x14ac:dyDescent="0.3">
      <c r="A51" s="85" t="s">
        <v>100</v>
      </c>
      <c r="B51" s="97" t="s">
        <v>101</v>
      </c>
      <c r="C51" s="97"/>
      <c r="D51" s="33">
        <v>222580</v>
      </c>
    </row>
    <row r="52" spans="1:4" s="30" customFormat="1" ht="33" customHeight="1" x14ac:dyDescent="0.3">
      <c r="A52" s="85" t="s">
        <v>106</v>
      </c>
      <c r="B52" s="97" t="s">
        <v>107</v>
      </c>
      <c r="C52" s="97"/>
      <c r="D52" s="33">
        <v>206146</v>
      </c>
    </row>
    <row r="53" spans="1:4" s="30" customFormat="1" ht="33" customHeight="1" x14ac:dyDescent="0.3">
      <c r="A53" s="85" t="s">
        <v>108</v>
      </c>
      <c r="B53" s="97" t="s">
        <v>109</v>
      </c>
      <c r="C53" s="97"/>
      <c r="D53" s="33">
        <v>55200</v>
      </c>
    </row>
    <row r="54" spans="1:4" s="30" customFormat="1" ht="33" customHeight="1" x14ac:dyDescent="0.3">
      <c r="A54" s="85" t="s">
        <v>61</v>
      </c>
      <c r="B54" s="97" t="s">
        <v>123</v>
      </c>
      <c r="C54" s="97"/>
      <c r="D54" s="33">
        <v>88000</v>
      </c>
    </row>
    <row r="55" spans="1:4" s="30" customFormat="1" ht="33" customHeight="1" x14ac:dyDescent="0.3">
      <c r="A55" s="85" t="s">
        <v>120</v>
      </c>
      <c r="B55" s="97" t="s">
        <v>121</v>
      </c>
      <c r="C55" s="97"/>
      <c r="D55" s="33">
        <v>54610</v>
      </c>
    </row>
    <row r="56" spans="1:4" s="30" customFormat="1" ht="33" customHeight="1" x14ac:dyDescent="0.3">
      <c r="A56" s="87" t="s">
        <v>206</v>
      </c>
      <c r="B56" s="37"/>
      <c r="C56" s="38"/>
      <c r="D56" s="32">
        <f>SUM(D49:D55)</f>
        <v>762962</v>
      </c>
    </row>
    <row r="57" spans="1:4" s="30" customFormat="1" ht="33" customHeight="1" x14ac:dyDescent="0.3">
      <c r="A57" s="85" t="s">
        <v>4</v>
      </c>
      <c r="B57" s="97" t="s">
        <v>125</v>
      </c>
      <c r="C57" s="97"/>
      <c r="D57" s="33">
        <f>16000+6662</f>
        <v>22662</v>
      </c>
    </row>
    <row r="58" spans="1:4" s="30" customFormat="1" ht="33" customHeight="1" x14ac:dyDescent="0.3">
      <c r="A58" s="85" t="s">
        <v>16</v>
      </c>
      <c r="B58" s="97" t="s">
        <v>126</v>
      </c>
      <c r="C58" s="97"/>
      <c r="D58" s="33">
        <v>21590</v>
      </c>
    </row>
    <row r="59" spans="1:4" s="30" customFormat="1" ht="33" customHeight="1" x14ac:dyDescent="0.3">
      <c r="A59" s="85" t="s">
        <v>47</v>
      </c>
      <c r="B59" s="97" t="s">
        <v>129</v>
      </c>
      <c r="C59" s="97"/>
      <c r="D59" s="33">
        <v>6200</v>
      </c>
    </row>
    <row r="60" spans="1:4" s="30" customFormat="1" ht="33" customHeight="1" x14ac:dyDescent="0.3">
      <c r="A60" s="85" t="s">
        <v>17</v>
      </c>
      <c r="B60" s="97" t="s">
        <v>140</v>
      </c>
      <c r="C60" s="97"/>
      <c r="D60" s="33">
        <f>30000+14546</f>
        <v>44546</v>
      </c>
    </row>
    <row r="61" spans="1:4" s="30" customFormat="1" ht="33" customHeight="1" x14ac:dyDescent="0.3">
      <c r="A61" s="85" t="s">
        <v>21</v>
      </c>
      <c r="B61" s="97" t="s">
        <v>149</v>
      </c>
      <c r="C61" s="97"/>
      <c r="D61" s="33">
        <v>8034</v>
      </c>
    </row>
    <row r="62" spans="1:4" s="30" customFormat="1" ht="33" customHeight="1" x14ac:dyDescent="0.3">
      <c r="A62" s="85" t="s">
        <v>5</v>
      </c>
      <c r="B62" s="97" t="s">
        <v>127</v>
      </c>
      <c r="C62" s="97"/>
      <c r="D62" s="33">
        <v>17060</v>
      </c>
    </row>
    <row r="63" spans="1:4" s="30" customFormat="1" ht="33" customHeight="1" x14ac:dyDescent="0.3">
      <c r="A63" s="85" t="s">
        <v>85</v>
      </c>
      <c r="B63" s="97" t="s">
        <v>86</v>
      </c>
      <c r="C63" s="97"/>
      <c r="D63" s="33">
        <v>23406</v>
      </c>
    </row>
    <row r="64" spans="1:4" s="30" customFormat="1" ht="33" customHeight="1" x14ac:dyDescent="0.3">
      <c r="A64" s="85" t="s">
        <v>57</v>
      </c>
      <c r="B64" s="97" t="s">
        <v>154</v>
      </c>
      <c r="C64" s="97"/>
      <c r="D64" s="33">
        <v>75154</v>
      </c>
    </row>
    <row r="65" spans="1:4" s="30" customFormat="1" ht="33" customHeight="1" x14ac:dyDescent="0.3">
      <c r="A65" s="85" t="s">
        <v>40</v>
      </c>
      <c r="B65" s="97" t="s">
        <v>141</v>
      </c>
      <c r="C65" s="97"/>
      <c r="D65" s="33">
        <v>9296</v>
      </c>
    </row>
    <row r="66" spans="1:4" s="30" customFormat="1" ht="33" customHeight="1" x14ac:dyDescent="0.3">
      <c r="A66" s="85" t="s">
        <v>22</v>
      </c>
      <c r="B66" s="97" t="s">
        <v>150</v>
      </c>
      <c r="C66" s="97"/>
      <c r="D66" s="33">
        <v>9524</v>
      </c>
    </row>
    <row r="67" spans="1:4" s="30" customFormat="1" ht="33" customHeight="1" x14ac:dyDescent="0.3">
      <c r="A67" s="85" t="s">
        <v>39</v>
      </c>
      <c r="B67" s="97" t="s">
        <v>169</v>
      </c>
      <c r="C67" s="97"/>
      <c r="D67" s="33">
        <v>13594</v>
      </c>
    </row>
    <row r="68" spans="1:4" s="30" customFormat="1" ht="33" customHeight="1" x14ac:dyDescent="0.3">
      <c r="A68" s="85" t="s">
        <v>31</v>
      </c>
      <c r="B68" s="97" t="s">
        <v>66</v>
      </c>
      <c r="C68" s="97"/>
      <c r="D68" s="33">
        <v>17692</v>
      </c>
    </row>
    <row r="69" spans="1:4" s="30" customFormat="1" ht="33" customHeight="1" x14ac:dyDescent="0.3">
      <c r="A69" s="85" t="s">
        <v>274</v>
      </c>
      <c r="B69" s="97" t="s">
        <v>213</v>
      </c>
      <c r="C69" s="97"/>
      <c r="D69" s="33">
        <v>6800</v>
      </c>
    </row>
    <row r="70" spans="1:4" s="30" customFormat="1" ht="33" customHeight="1" x14ac:dyDescent="0.3">
      <c r="A70" s="85" t="s">
        <v>69</v>
      </c>
      <c r="B70" s="97" t="s">
        <v>234</v>
      </c>
      <c r="C70" s="97"/>
      <c r="D70" s="33">
        <v>8384</v>
      </c>
    </row>
    <row r="71" spans="1:4" s="30" customFormat="1" ht="33" customHeight="1" x14ac:dyDescent="0.3">
      <c r="A71" s="85" t="s">
        <v>7</v>
      </c>
      <c r="B71" s="97" t="s">
        <v>130</v>
      </c>
      <c r="C71" s="97"/>
      <c r="D71" s="33">
        <v>35882</v>
      </c>
    </row>
    <row r="72" spans="1:4" s="30" customFormat="1" ht="33" customHeight="1" x14ac:dyDescent="0.3">
      <c r="A72" s="85" t="s">
        <v>48</v>
      </c>
      <c r="B72" s="97" t="s">
        <v>160</v>
      </c>
      <c r="C72" s="97"/>
      <c r="D72" s="33">
        <v>28888</v>
      </c>
    </row>
    <row r="73" spans="1:4" s="30" customFormat="1" ht="33" customHeight="1" x14ac:dyDescent="0.3">
      <c r="A73" s="85" t="s">
        <v>27</v>
      </c>
      <c r="B73" s="97" t="s">
        <v>163</v>
      </c>
      <c r="C73" s="97"/>
      <c r="D73" s="33">
        <v>12676</v>
      </c>
    </row>
    <row r="74" spans="1:4" s="30" customFormat="1" ht="33" customHeight="1" x14ac:dyDescent="0.3">
      <c r="A74" s="85" t="s">
        <v>28</v>
      </c>
      <c r="B74" s="97" t="s">
        <v>162</v>
      </c>
      <c r="C74" s="97"/>
      <c r="D74" s="33">
        <v>6540</v>
      </c>
    </row>
    <row r="75" spans="1:4" s="30" customFormat="1" ht="33" customHeight="1" x14ac:dyDescent="0.3">
      <c r="A75" s="85" t="s">
        <v>18</v>
      </c>
      <c r="B75" s="97" t="s">
        <v>142</v>
      </c>
      <c r="C75" s="97"/>
      <c r="D75" s="33">
        <v>38784</v>
      </c>
    </row>
    <row r="76" spans="1:4" s="30" customFormat="1" ht="33" customHeight="1" x14ac:dyDescent="0.3">
      <c r="A76" s="85" t="s">
        <v>221</v>
      </c>
      <c r="B76" s="97" t="s">
        <v>143</v>
      </c>
      <c r="C76" s="97"/>
      <c r="D76" s="33">
        <v>6816</v>
      </c>
    </row>
    <row r="77" spans="1:4" s="30" customFormat="1" ht="33" customHeight="1" x14ac:dyDescent="0.3">
      <c r="A77" s="85" t="s">
        <v>51</v>
      </c>
      <c r="B77" s="97" t="s">
        <v>170</v>
      </c>
      <c r="C77" s="97"/>
      <c r="D77" s="33">
        <v>10316</v>
      </c>
    </row>
    <row r="78" spans="1:4" s="30" customFormat="1" ht="33" customHeight="1" x14ac:dyDescent="0.3">
      <c r="A78" s="85" t="s">
        <v>97</v>
      </c>
      <c r="B78" s="97" t="s">
        <v>98</v>
      </c>
      <c r="C78" s="97"/>
      <c r="D78" s="33">
        <v>36174</v>
      </c>
    </row>
    <row r="79" spans="1:4" s="30" customFormat="1" ht="33" customHeight="1" x14ac:dyDescent="0.3">
      <c r="A79" s="85" t="s">
        <v>49</v>
      </c>
      <c r="B79" s="97" t="s">
        <v>166</v>
      </c>
      <c r="C79" s="97"/>
      <c r="D79" s="33">
        <v>7322</v>
      </c>
    </row>
    <row r="80" spans="1:4" s="30" customFormat="1" ht="33" customHeight="1" x14ac:dyDescent="0.3">
      <c r="A80" s="85" t="s">
        <v>9</v>
      </c>
      <c r="B80" s="97" t="s">
        <v>132</v>
      </c>
      <c r="C80" s="97"/>
      <c r="D80" s="33">
        <v>4210</v>
      </c>
    </row>
    <row r="81" spans="1:4" s="30" customFormat="1" ht="33" customHeight="1" x14ac:dyDescent="0.3">
      <c r="A81" s="85" t="s">
        <v>71</v>
      </c>
      <c r="B81" s="97" t="s">
        <v>72</v>
      </c>
      <c r="C81" s="97"/>
      <c r="D81" s="33">
        <v>43422</v>
      </c>
    </row>
    <row r="82" spans="1:4" s="30" customFormat="1" ht="33" customHeight="1" x14ac:dyDescent="0.3">
      <c r="A82" s="85" t="s">
        <v>23</v>
      </c>
      <c r="B82" s="97" t="s">
        <v>151</v>
      </c>
      <c r="C82" s="97"/>
      <c r="D82" s="33">
        <v>17910</v>
      </c>
    </row>
    <row r="83" spans="1:4" s="30" customFormat="1" ht="33" customHeight="1" x14ac:dyDescent="0.3">
      <c r="A83" s="85" t="s">
        <v>30</v>
      </c>
      <c r="B83" s="97" t="s">
        <v>175</v>
      </c>
      <c r="C83" s="97"/>
      <c r="D83" s="33">
        <v>13366</v>
      </c>
    </row>
    <row r="84" spans="1:4" s="30" customFormat="1" ht="33" customHeight="1" x14ac:dyDescent="0.3">
      <c r="A84" s="85" t="s">
        <v>32</v>
      </c>
      <c r="B84" s="97" t="s">
        <v>208</v>
      </c>
      <c r="C84" s="97"/>
      <c r="D84" s="33">
        <v>21722</v>
      </c>
    </row>
    <row r="85" spans="1:4" s="30" customFormat="1" ht="33" customHeight="1" x14ac:dyDescent="0.3">
      <c r="A85" s="85" t="s">
        <v>43</v>
      </c>
      <c r="B85" s="97" t="s">
        <v>139</v>
      </c>
      <c r="C85" s="97"/>
      <c r="D85" s="33">
        <v>14540</v>
      </c>
    </row>
    <row r="86" spans="1:4" s="30" customFormat="1" ht="33" customHeight="1" x14ac:dyDescent="0.3">
      <c r="A86" s="85" t="s">
        <v>26</v>
      </c>
      <c r="B86" s="97" t="s">
        <v>133</v>
      </c>
      <c r="C86" s="97"/>
      <c r="D86" s="33">
        <v>12140</v>
      </c>
    </row>
    <row r="87" spans="1:4" s="30" customFormat="1" ht="33" customHeight="1" x14ac:dyDescent="0.3">
      <c r="A87" s="85" t="s">
        <v>24</v>
      </c>
      <c r="B87" s="97" t="s">
        <v>152</v>
      </c>
      <c r="C87" s="97"/>
      <c r="D87" s="33">
        <v>5244</v>
      </c>
    </row>
    <row r="88" spans="1:4" s="30" customFormat="1" ht="33" customHeight="1" x14ac:dyDescent="0.3">
      <c r="A88" s="85" t="s">
        <v>104</v>
      </c>
      <c r="B88" s="97" t="s">
        <v>105</v>
      </c>
      <c r="C88" s="97"/>
      <c r="D88" s="33">
        <v>35384</v>
      </c>
    </row>
    <row r="89" spans="1:4" s="30" customFormat="1" ht="33" customHeight="1" x14ac:dyDescent="0.3">
      <c r="A89" s="85" t="s">
        <v>10</v>
      </c>
      <c r="B89" s="97" t="s">
        <v>134</v>
      </c>
      <c r="C89" s="97"/>
      <c r="D89" s="33">
        <v>5000</v>
      </c>
    </row>
    <row r="90" spans="1:4" s="30" customFormat="1" ht="33" customHeight="1" x14ac:dyDescent="0.3">
      <c r="A90" s="85" t="s">
        <v>11</v>
      </c>
      <c r="B90" s="97" t="s">
        <v>176</v>
      </c>
      <c r="C90" s="97"/>
      <c r="D90" s="33">
        <v>21568</v>
      </c>
    </row>
    <row r="91" spans="1:4" s="30" customFormat="1" ht="33" customHeight="1" x14ac:dyDescent="0.3">
      <c r="A91" s="85" t="s">
        <v>12</v>
      </c>
      <c r="B91" s="97" t="s">
        <v>135</v>
      </c>
      <c r="C91" s="97"/>
      <c r="D91" s="33">
        <v>15910</v>
      </c>
    </row>
    <row r="92" spans="1:4" s="30" customFormat="1" ht="33" customHeight="1" x14ac:dyDescent="0.3">
      <c r="A92" s="85" t="s">
        <v>73</v>
      </c>
      <c r="B92" s="97" t="s">
        <v>74</v>
      </c>
      <c r="C92" s="97"/>
      <c r="D92" s="33">
        <v>23716</v>
      </c>
    </row>
    <row r="93" spans="1:4" s="30" customFormat="1" ht="33" customHeight="1" x14ac:dyDescent="0.3">
      <c r="A93" s="85" t="s">
        <v>77</v>
      </c>
      <c r="B93" s="97" t="s">
        <v>78</v>
      </c>
      <c r="C93" s="97"/>
      <c r="D93" s="33">
        <v>47386</v>
      </c>
    </row>
    <row r="94" spans="1:4" s="30" customFormat="1" ht="33" customHeight="1" x14ac:dyDescent="0.3">
      <c r="A94" s="85" t="s">
        <v>52</v>
      </c>
      <c r="B94" s="97" t="s">
        <v>171</v>
      </c>
      <c r="C94" s="97"/>
      <c r="D94" s="33">
        <v>41708</v>
      </c>
    </row>
    <row r="95" spans="1:4" s="30" customFormat="1" ht="33" customHeight="1" x14ac:dyDescent="0.3">
      <c r="A95" s="85" t="s">
        <v>53</v>
      </c>
      <c r="B95" s="97" t="s">
        <v>172</v>
      </c>
      <c r="C95" s="97"/>
      <c r="D95" s="33">
        <v>37780</v>
      </c>
    </row>
    <row r="96" spans="1:4" s="30" customFormat="1" ht="33" customHeight="1" x14ac:dyDescent="0.3">
      <c r="A96" s="85" t="s">
        <v>34</v>
      </c>
      <c r="B96" s="97" t="s">
        <v>158</v>
      </c>
      <c r="C96" s="97"/>
      <c r="D96" s="33">
        <v>46612</v>
      </c>
    </row>
    <row r="97" spans="1:4" s="30" customFormat="1" ht="33" customHeight="1" x14ac:dyDescent="0.3">
      <c r="A97" s="85" t="s">
        <v>33</v>
      </c>
      <c r="B97" s="97" t="s">
        <v>174</v>
      </c>
      <c r="C97" s="97"/>
      <c r="D97" s="33">
        <v>25080</v>
      </c>
    </row>
    <row r="98" spans="1:4" s="30" customFormat="1" ht="33" customHeight="1" x14ac:dyDescent="0.3">
      <c r="A98" s="85" t="s">
        <v>112</v>
      </c>
      <c r="B98" s="97" t="s">
        <v>113</v>
      </c>
      <c r="C98" s="97"/>
      <c r="D98" s="33">
        <v>21040</v>
      </c>
    </row>
    <row r="99" spans="1:4" s="30" customFormat="1" ht="33" customHeight="1" x14ac:dyDescent="0.3">
      <c r="A99" s="85" t="s">
        <v>46</v>
      </c>
      <c r="B99" s="97" t="s">
        <v>144</v>
      </c>
      <c r="C99" s="97"/>
      <c r="D99" s="33">
        <v>42098</v>
      </c>
    </row>
    <row r="100" spans="1:4" s="30" customFormat="1" ht="33" customHeight="1" x14ac:dyDescent="0.3">
      <c r="A100" s="85" t="s">
        <v>114</v>
      </c>
      <c r="B100" s="97" t="s">
        <v>115</v>
      </c>
      <c r="C100" s="97"/>
      <c r="D100" s="33">
        <v>52664</v>
      </c>
    </row>
    <row r="101" spans="1:4" s="30" customFormat="1" ht="33" customHeight="1" x14ac:dyDescent="0.3">
      <c r="A101" s="85" t="s">
        <v>19</v>
      </c>
      <c r="B101" s="97" t="s">
        <v>145</v>
      </c>
      <c r="C101" s="97"/>
      <c r="D101" s="33">
        <v>6732</v>
      </c>
    </row>
    <row r="102" spans="1:4" s="30" customFormat="1" ht="33" customHeight="1" x14ac:dyDescent="0.3">
      <c r="A102" s="85" t="s">
        <v>6</v>
      </c>
      <c r="B102" s="97" t="s">
        <v>128</v>
      </c>
      <c r="C102" s="97"/>
      <c r="D102" s="33">
        <v>10192</v>
      </c>
    </row>
    <row r="103" spans="1:4" s="30" customFormat="1" ht="33" customHeight="1" x14ac:dyDescent="0.3">
      <c r="A103" s="85" t="s">
        <v>118</v>
      </c>
      <c r="B103" s="97" t="s">
        <v>119</v>
      </c>
      <c r="C103" s="97"/>
      <c r="D103" s="33">
        <v>8170</v>
      </c>
    </row>
    <row r="104" spans="1:4" s="30" customFormat="1" ht="33" customHeight="1" x14ac:dyDescent="0.3">
      <c r="A104" s="85" t="s">
        <v>15</v>
      </c>
      <c r="B104" s="97" t="s">
        <v>138</v>
      </c>
      <c r="C104" s="97"/>
      <c r="D104" s="33">
        <v>46666</v>
      </c>
    </row>
    <row r="105" spans="1:4" s="30" customFormat="1" ht="33" customHeight="1" x14ac:dyDescent="0.3">
      <c r="A105" s="85" t="s">
        <v>13</v>
      </c>
      <c r="B105" s="97" t="s">
        <v>136</v>
      </c>
      <c r="C105" s="97"/>
      <c r="D105" s="33">
        <v>48756</v>
      </c>
    </row>
    <row r="106" spans="1:4" s="30" customFormat="1" ht="33" customHeight="1" x14ac:dyDescent="0.3">
      <c r="A106" s="85" t="s">
        <v>44</v>
      </c>
      <c r="B106" s="97" t="s">
        <v>236</v>
      </c>
      <c r="C106" s="97"/>
      <c r="D106" s="33">
        <v>26696</v>
      </c>
    </row>
    <row r="107" spans="1:4" s="30" customFormat="1" ht="33" customHeight="1" x14ac:dyDescent="0.3">
      <c r="A107" s="85" t="s">
        <v>41</v>
      </c>
      <c r="B107" s="97" t="s">
        <v>147</v>
      </c>
      <c r="C107" s="97"/>
      <c r="D107" s="33">
        <v>29400</v>
      </c>
    </row>
    <row r="108" spans="1:4" s="30" customFormat="1" ht="33" customHeight="1" x14ac:dyDescent="0.3">
      <c r="A108" s="85" t="s">
        <v>37</v>
      </c>
      <c r="B108" s="97" t="s">
        <v>157</v>
      </c>
      <c r="C108" s="97"/>
      <c r="D108" s="33">
        <v>7060</v>
      </c>
    </row>
    <row r="109" spans="1:4" s="30" customFormat="1" ht="33" customHeight="1" x14ac:dyDescent="0.3">
      <c r="A109" s="85" t="s">
        <v>55</v>
      </c>
      <c r="B109" s="97" t="s">
        <v>167</v>
      </c>
      <c r="C109" s="97"/>
      <c r="D109" s="33">
        <v>4136</v>
      </c>
    </row>
    <row r="110" spans="1:4" s="30" customFormat="1" ht="33" customHeight="1" x14ac:dyDescent="0.3">
      <c r="A110" s="85" t="s">
        <v>20</v>
      </c>
      <c r="B110" s="97" t="s">
        <v>148</v>
      </c>
      <c r="C110" s="97"/>
      <c r="D110" s="33">
        <f>14634+14634</f>
        <v>29268</v>
      </c>
    </row>
    <row r="111" spans="1:4" s="30" customFormat="1" ht="33" customHeight="1" x14ac:dyDescent="0.3">
      <c r="A111" s="85" t="s">
        <v>79</v>
      </c>
      <c r="B111" s="97" t="s">
        <v>80</v>
      </c>
      <c r="C111" s="97"/>
      <c r="D111" s="33">
        <v>20752</v>
      </c>
    </row>
    <row r="112" spans="1:4" s="30" customFormat="1" ht="33" customHeight="1" x14ac:dyDescent="0.3">
      <c r="A112" s="85" t="s">
        <v>75</v>
      </c>
      <c r="B112" s="97" t="s">
        <v>76</v>
      </c>
      <c r="C112" s="97"/>
      <c r="D112" s="33">
        <v>9622</v>
      </c>
    </row>
    <row r="113" spans="1:4" s="30" customFormat="1" ht="33" customHeight="1" x14ac:dyDescent="0.3">
      <c r="A113" s="85" t="s">
        <v>56</v>
      </c>
      <c r="B113" s="97" t="s">
        <v>173</v>
      </c>
      <c r="C113" s="97"/>
      <c r="D113" s="33">
        <v>9294</v>
      </c>
    </row>
    <row r="114" spans="1:4" s="30" customFormat="1" ht="33" customHeight="1" x14ac:dyDescent="0.3">
      <c r="A114" s="85" t="s">
        <v>45</v>
      </c>
      <c r="B114" s="97" t="s">
        <v>165</v>
      </c>
      <c r="C114" s="97"/>
      <c r="D114" s="33">
        <v>22164</v>
      </c>
    </row>
    <row r="115" spans="1:4" s="30" customFormat="1" ht="33" customHeight="1" x14ac:dyDescent="0.3">
      <c r="A115" s="103" t="s">
        <v>177</v>
      </c>
      <c r="B115" s="104"/>
      <c r="C115" s="105"/>
      <c r="D115" s="32">
        <f>SUM(D57:D114)</f>
        <v>1294748</v>
      </c>
    </row>
    <row r="116" spans="1:4" s="30" customFormat="1" ht="44.25" customHeight="1" x14ac:dyDescent="0.3">
      <c r="A116" s="88"/>
      <c r="B116" s="98" t="s">
        <v>289</v>
      </c>
      <c r="C116" s="99"/>
      <c r="D116" s="32">
        <f>D120+D117+D119+D121+D118</f>
        <v>175685</v>
      </c>
    </row>
    <row r="117" spans="1:4" s="30" customFormat="1" ht="30" customHeight="1" x14ac:dyDescent="0.3">
      <c r="A117" s="85" t="s">
        <v>102</v>
      </c>
      <c r="B117" s="97" t="s">
        <v>103</v>
      </c>
      <c r="C117" s="97"/>
      <c r="D117" s="32">
        <v>16485</v>
      </c>
    </row>
    <row r="118" spans="1:4" s="30" customFormat="1" ht="30" customHeight="1" x14ac:dyDescent="0.3">
      <c r="A118" s="85" t="s">
        <v>29</v>
      </c>
      <c r="B118" s="101" t="s">
        <v>155</v>
      </c>
      <c r="C118" s="102"/>
      <c r="D118" s="32">
        <v>32800</v>
      </c>
    </row>
    <row r="119" spans="1:4" s="30" customFormat="1" ht="30" customHeight="1" x14ac:dyDescent="0.3">
      <c r="A119" s="85" t="s">
        <v>99</v>
      </c>
      <c r="B119" s="97" t="s">
        <v>283</v>
      </c>
      <c r="C119" s="97"/>
      <c r="D119" s="32">
        <v>26400</v>
      </c>
    </row>
    <row r="120" spans="1:4" s="30" customFormat="1" ht="30" customHeight="1" x14ac:dyDescent="0.3">
      <c r="A120" s="85" t="s">
        <v>32</v>
      </c>
      <c r="B120" s="97" t="s">
        <v>208</v>
      </c>
      <c r="C120" s="97"/>
      <c r="D120" s="32">
        <v>60000</v>
      </c>
    </row>
    <row r="121" spans="1:4" s="30" customFormat="1" ht="30" customHeight="1" x14ac:dyDescent="0.3">
      <c r="A121" s="85" t="s">
        <v>79</v>
      </c>
      <c r="B121" s="97" t="s">
        <v>80</v>
      </c>
      <c r="C121" s="97"/>
      <c r="D121" s="32">
        <v>40000</v>
      </c>
    </row>
    <row r="122" spans="1:4" s="30" customFormat="1" ht="57.75" customHeight="1" x14ac:dyDescent="0.3">
      <c r="A122" s="83" t="s">
        <v>286</v>
      </c>
      <c r="B122" s="98" t="s">
        <v>285</v>
      </c>
      <c r="C122" s="99"/>
      <c r="D122" s="32">
        <f>SUM(D123:D134)</f>
        <v>1387025</v>
      </c>
    </row>
    <row r="123" spans="1:4" s="30" customFormat="1" ht="30" customHeight="1" x14ac:dyDescent="0.3">
      <c r="A123" s="85" t="s">
        <v>91</v>
      </c>
      <c r="B123" s="97" t="s">
        <v>92</v>
      </c>
      <c r="C123" s="97"/>
      <c r="D123" s="32">
        <v>860950</v>
      </c>
    </row>
    <row r="124" spans="1:4" s="30" customFormat="1" ht="30" customHeight="1" x14ac:dyDescent="0.3">
      <c r="A124" s="85" t="s">
        <v>81</v>
      </c>
      <c r="B124" s="97" t="s">
        <v>290</v>
      </c>
      <c r="C124" s="97"/>
      <c r="D124" s="32">
        <v>47825</v>
      </c>
    </row>
    <row r="125" spans="1:4" s="30" customFormat="1" ht="30" customHeight="1" x14ac:dyDescent="0.3">
      <c r="A125" s="85" t="s">
        <v>100</v>
      </c>
      <c r="B125" s="97" t="s">
        <v>101</v>
      </c>
      <c r="C125" s="97"/>
      <c r="D125" s="32">
        <v>47825</v>
      </c>
    </row>
    <row r="126" spans="1:4" s="30" customFormat="1" ht="30" customHeight="1" x14ac:dyDescent="0.3">
      <c r="A126" s="85" t="s">
        <v>3</v>
      </c>
      <c r="B126" s="97" t="s">
        <v>124</v>
      </c>
      <c r="C126" s="97"/>
      <c r="D126" s="32">
        <v>47825</v>
      </c>
    </row>
    <row r="127" spans="1:4" s="30" customFormat="1" ht="30" customHeight="1" x14ac:dyDescent="0.3">
      <c r="A127" s="85" t="s">
        <v>57</v>
      </c>
      <c r="B127" s="97" t="s">
        <v>154</v>
      </c>
      <c r="C127" s="97"/>
      <c r="D127" s="32">
        <v>47825</v>
      </c>
    </row>
    <row r="128" spans="1:4" s="30" customFormat="1" ht="30" customHeight="1" x14ac:dyDescent="0.3">
      <c r="A128" s="85" t="s">
        <v>89</v>
      </c>
      <c r="B128" s="97" t="s">
        <v>90</v>
      </c>
      <c r="C128" s="97"/>
      <c r="D128" s="32">
        <v>47825</v>
      </c>
    </row>
    <row r="129" spans="1:4" s="30" customFormat="1" ht="30" customHeight="1" x14ac:dyDescent="0.3">
      <c r="A129" s="85" t="s">
        <v>104</v>
      </c>
      <c r="B129" s="97" t="s">
        <v>105</v>
      </c>
      <c r="C129" s="97"/>
      <c r="D129" s="32">
        <v>47825</v>
      </c>
    </row>
    <row r="130" spans="1:4" s="30" customFormat="1" ht="30" customHeight="1" x14ac:dyDescent="0.3">
      <c r="A130" s="85" t="s">
        <v>46</v>
      </c>
      <c r="B130" s="97" t="s">
        <v>144</v>
      </c>
      <c r="C130" s="97"/>
      <c r="D130" s="32">
        <v>47825</v>
      </c>
    </row>
    <row r="131" spans="1:4" s="30" customFormat="1" ht="30" customHeight="1" x14ac:dyDescent="0.3">
      <c r="A131" s="85" t="s">
        <v>112</v>
      </c>
      <c r="B131" s="97" t="s">
        <v>287</v>
      </c>
      <c r="C131" s="97"/>
      <c r="D131" s="32">
        <v>47825</v>
      </c>
    </row>
    <row r="132" spans="1:4" s="30" customFormat="1" ht="30" customHeight="1" x14ac:dyDescent="0.3">
      <c r="A132" s="85" t="s">
        <v>114</v>
      </c>
      <c r="B132" s="97" t="s">
        <v>115</v>
      </c>
      <c r="C132" s="97"/>
      <c r="D132" s="32">
        <v>47825</v>
      </c>
    </row>
    <row r="133" spans="1:4" s="30" customFormat="1" ht="30" customHeight="1" x14ac:dyDescent="0.3">
      <c r="A133" s="85" t="s">
        <v>15</v>
      </c>
      <c r="B133" s="97" t="s">
        <v>138</v>
      </c>
      <c r="C133" s="97"/>
      <c r="D133" s="32">
        <v>47825</v>
      </c>
    </row>
    <row r="134" spans="1:4" s="30" customFormat="1" ht="30" customHeight="1" x14ac:dyDescent="0.3">
      <c r="A134" s="85" t="s">
        <v>13</v>
      </c>
      <c r="B134" s="97" t="s">
        <v>136</v>
      </c>
      <c r="C134" s="97"/>
      <c r="D134" s="32">
        <v>47825</v>
      </c>
    </row>
    <row r="135" spans="1:4" s="30" customFormat="1" ht="39.950000000000003" customHeight="1" x14ac:dyDescent="0.3">
      <c r="A135" s="110" t="s">
        <v>203</v>
      </c>
      <c r="B135" s="110"/>
      <c r="C135" s="110"/>
      <c r="D135" s="110"/>
    </row>
    <row r="136" spans="1:4" s="31" customFormat="1" ht="60" customHeight="1" x14ac:dyDescent="0.3">
      <c r="A136" s="83">
        <v>41031400</v>
      </c>
      <c r="B136" s="98" t="s">
        <v>263</v>
      </c>
      <c r="C136" s="99"/>
      <c r="D136" s="32">
        <f>D137</f>
        <v>23509208</v>
      </c>
    </row>
    <row r="137" spans="1:4" s="31" customFormat="1" ht="33" customHeight="1" x14ac:dyDescent="0.3">
      <c r="A137" s="84">
        <v>99000000000</v>
      </c>
      <c r="B137" s="54" t="s">
        <v>2</v>
      </c>
      <c r="C137" s="53"/>
      <c r="D137" s="33">
        <v>23509208</v>
      </c>
    </row>
    <row r="138" spans="1:4" s="39" customFormat="1" ht="58.5" customHeight="1" x14ac:dyDescent="0.3">
      <c r="A138" s="89">
        <v>41037300</v>
      </c>
      <c r="B138" s="109" t="s">
        <v>198</v>
      </c>
      <c r="C138" s="109"/>
      <c r="D138" s="32">
        <f>D139</f>
        <v>1183987900</v>
      </c>
    </row>
    <row r="139" spans="1:4" s="31" customFormat="1" ht="33" customHeight="1" x14ac:dyDescent="0.3">
      <c r="A139" s="84">
        <v>99000000000</v>
      </c>
      <c r="B139" s="54" t="s">
        <v>2</v>
      </c>
      <c r="C139" s="53"/>
      <c r="D139" s="33">
        <v>1183987900</v>
      </c>
    </row>
    <row r="140" spans="1:4" s="39" customFormat="1" ht="58.5" customHeight="1" x14ac:dyDescent="0.3">
      <c r="A140" s="89">
        <v>41053500</v>
      </c>
      <c r="B140" s="109" t="s">
        <v>227</v>
      </c>
      <c r="C140" s="109"/>
      <c r="D140" s="32">
        <f>D143</f>
        <v>400000</v>
      </c>
    </row>
    <row r="141" spans="1:4" s="31" customFormat="1" ht="33" customHeight="1" x14ac:dyDescent="0.3">
      <c r="A141" s="85" t="s">
        <v>221</v>
      </c>
      <c r="B141" s="54" t="s">
        <v>228</v>
      </c>
      <c r="C141" s="53"/>
      <c r="D141" s="33">
        <v>200000</v>
      </c>
    </row>
    <row r="142" spans="1:4" s="31" customFormat="1" ht="33" customHeight="1" x14ac:dyDescent="0.3">
      <c r="A142" s="85" t="s">
        <v>10</v>
      </c>
      <c r="B142" s="97" t="s">
        <v>134</v>
      </c>
      <c r="C142" s="97"/>
      <c r="D142" s="33">
        <v>200000</v>
      </c>
    </row>
    <row r="143" spans="1:4" s="31" customFormat="1" ht="33" customHeight="1" x14ac:dyDescent="0.3">
      <c r="A143" s="103" t="s">
        <v>177</v>
      </c>
      <c r="B143" s="104"/>
      <c r="C143" s="105"/>
      <c r="D143" s="32">
        <f>D141+D142</f>
        <v>400000</v>
      </c>
    </row>
    <row r="144" spans="1:4" s="39" customFormat="1" ht="47.25" customHeight="1" x14ac:dyDescent="0.3">
      <c r="A144" s="89" t="s">
        <v>229</v>
      </c>
      <c r="B144" s="109" t="s">
        <v>230</v>
      </c>
      <c r="C144" s="109"/>
      <c r="D144" s="32">
        <f>D145</f>
        <v>200000</v>
      </c>
    </row>
    <row r="145" spans="1:7" s="31" customFormat="1" ht="33" customHeight="1" x14ac:dyDescent="0.3">
      <c r="A145" s="85" t="s">
        <v>120</v>
      </c>
      <c r="B145" s="101" t="s">
        <v>121</v>
      </c>
      <c r="C145" s="102"/>
      <c r="D145" s="33">
        <v>200000</v>
      </c>
    </row>
    <row r="146" spans="1:7" s="31" customFormat="1" ht="33" customHeight="1" x14ac:dyDescent="0.3">
      <c r="A146" s="83">
        <v>41053900</v>
      </c>
      <c r="B146" s="49" t="s">
        <v>222</v>
      </c>
      <c r="C146" s="52"/>
      <c r="D146" s="32">
        <f>D148+D152</f>
        <v>700756</v>
      </c>
    </row>
    <row r="147" spans="1:7" s="31" customFormat="1" ht="33" customHeight="1" x14ac:dyDescent="0.3">
      <c r="A147" s="84"/>
      <c r="B147" s="54" t="s">
        <v>223</v>
      </c>
      <c r="C147" s="52"/>
      <c r="D147" s="33"/>
    </row>
    <row r="148" spans="1:7" s="31" customFormat="1" ht="49.5" customHeight="1" x14ac:dyDescent="0.3">
      <c r="A148" s="84"/>
      <c r="B148" s="100" t="s">
        <v>254</v>
      </c>
      <c r="C148" s="100"/>
      <c r="D148" s="32">
        <f>D151</f>
        <v>200756</v>
      </c>
    </row>
    <row r="149" spans="1:7" s="31" customFormat="1" ht="33" customHeight="1" x14ac:dyDescent="0.3">
      <c r="A149" s="85" t="s">
        <v>102</v>
      </c>
      <c r="B149" s="97" t="s">
        <v>103</v>
      </c>
      <c r="C149" s="97"/>
      <c r="D149" s="33">
        <v>140714</v>
      </c>
    </row>
    <row r="150" spans="1:7" s="31" customFormat="1" ht="33" customHeight="1" x14ac:dyDescent="0.3">
      <c r="A150" s="85" t="s">
        <v>116</v>
      </c>
      <c r="B150" s="97" t="s">
        <v>117</v>
      </c>
      <c r="C150" s="97"/>
      <c r="D150" s="33">
        <v>60042</v>
      </c>
    </row>
    <row r="151" spans="1:7" s="31" customFormat="1" ht="35.25" customHeight="1" x14ac:dyDescent="0.3">
      <c r="A151" s="103" t="s">
        <v>206</v>
      </c>
      <c r="B151" s="104"/>
      <c r="C151" s="105"/>
      <c r="D151" s="32">
        <f>SUM(D149:D150)</f>
        <v>200756</v>
      </c>
    </row>
    <row r="152" spans="1:7" s="31" customFormat="1" ht="40.5" customHeight="1" x14ac:dyDescent="0.3">
      <c r="A152" s="84"/>
      <c r="B152" s="100" t="s">
        <v>262</v>
      </c>
      <c r="C152" s="100"/>
      <c r="D152" s="32">
        <f>D153+D154</f>
        <v>500000</v>
      </c>
    </row>
    <row r="153" spans="1:7" s="31" customFormat="1" ht="34.5" customHeight="1" x14ac:dyDescent="0.3">
      <c r="A153" s="85" t="s">
        <v>20</v>
      </c>
      <c r="B153" s="101" t="s">
        <v>148</v>
      </c>
      <c r="C153" s="102"/>
      <c r="D153" s="33">
        <v>200000</v>
      </c>
    </row>
    <row r="154" spans="1:7" s="31" customFormat="1" ht="34.5" customHeight="1" x14ac:dyDescent="0.3">
      <c r="A154" s="85" t="s">
        <v>45</v>
      </c>
      <c r="B154" s="51" t="s">
        <v>165</v>
      </c>
      <c r="C154" s="52"/>
      <c r="D154" s="33">
        <v>300000</v>
      </c>
    </row>
    <row r="155" spans="1:7" s="35" customFormat="1" ht="23.25" customHeight="1" x14ac:dyDescent="0.3">
      <c r="A155" s="79"/>
      <c r="B155" s="107" t="s">
        <v>190</v>
      </c>
      <c r="C155" s="108"/>
      <c r="D155" s="40">
        <f>D156+D157</f>
        <v>2516937699</v>
      </c>
      <c r="E155" s="36"/>
      <c r="F155" s="41"/>
      <c r="G155" s="42"/>
    </row>
    <row r="156" spans="1:7" s="35" customFormat="1" ht="20.25" x14ac:dyDescent="0.3">
      <c r="A156" s="79"/>
      <c r="B156" s="106" t="s">
        <v>179</v>
      </c>
      <c r="C156" s="106"/>
      <c r="D156" s="40">
        <f>D13+D17+D19+D21+D23+D27+D15+D25+D37+D122</f>
        <v>1308139835</v>
      </c>
      <c r="E156" s="36"/>
      <c r="F156" s="41"/>
      <c r="G156" s="36"/>
    </row>
    <row r="157" spans="1:7" s="35" customFormat="1" ht="20.25" x14ac:dyDescent="0.3">
      <c r="A157" s="79"/>
      <c r="B157" s="106" t="s">
        <v>180</v>
      </c>
      <c r="C157" s="106"/>
      <c r="D157" s="40">
        <f>D138+D140+D144+D146+D136</f>
        <v>1208797864</v>
      </c>
      <c r="E157" s="36"/>
      <c r="F157" s="41"/>
    </row>
    <row r="158" spans="1:7" x14ac:dyDescent="0.3">
      <c r="E158" s="43"/>
      <c r="F158" s="43"/>
    </row>
  </sheetData>
  <sheetProtection selectLockedCells="1" selectUnlockedCells="1"/>
  <mergeCells count="136">
    <mergeCell ref="B30:C30"/>
    <mergeCell ref="B50:C50"/>
    <mergeCell ref="B52:C52"/>
    <mergeCell ref="B46:C46"/>
    <mergeCell ref="B127:C127"/>
    <mergeCell ref="B128:C128"/>
    <mergeCell ref="B131:C131"/>
    <mergeCell ref="B132:C132"/>
    <mergeCell ref="A4:D4"/>
    <mergeCell ref="A7:D7"/>
    <mergeCell ref="D9:D11"/>
    <mergeCell ref="B5:C5"/>
    <mergeCell ref="B6:C6"/>
    <mergeCell ref="B63:C63"/>
    <mergeCell ref="B71:C71"/>
    <mergeCell ref="A9:A11"/>
    <mergeCell ref="B9:C11"/>
    <mergeCell ref="A12:D12"/>
    <mergeCell ref="B13:C13"/>
    <mergeCell ref="B21:C21"/>
    <mergeCell ref="B23:C23"/>
    <mergeCell ref="B17:C17"/>
    <mergeCell ref="B15:C15"/>
    <mergeCell ref="B34:C34"/>
    <mergeCell ref="B35:C35"/>
    <mergeCell ref="B38:C38"/>
    <mergeCell ref="B49:C49"/>
    <mergeCell ref="B29:C29"/>
    <mergeCell ref="B40:C40"/>
    <mergeCell ref="B41:C41"/>
    <mergeCell ref="B36:C36"/>
    <mergeCell ref="B31:C31"/>
    <mergeCell ref="B32:C32"/>
    <mergeCell ref="B33:C33"/>
    <mergeCell ref="B123:C123"/>
    <mergeCell ref="B117:C117"/>
    <mergeCell ref="B119:C119"/>
    <mergeCell ref="B118:C118"/>
    <mergeCell ref="B111:C111"/>
    <mergeCell ref="B122:C122"/>
    <mergeCell ref="B65:C65"/>
    <mergeCell ref="B66:C66"/>
    <mergeCell ref="B59:C59"/>
    <mergeCell ref="B157:C157"/>
    <mergeCell ref="B156:C156"/>
    <mergeCell ref="B155:C155"/>
    <mergeCell ref="B138:C138"/>
    <mergeCell ref="B140:C140"/>
    <mergeCell ref="B142:C142"/>
    <mergeCell ref="A143:C143"/>
    <mergeCell ref="B144:C144"/>
    <mergeCell ref="B145:C145"/>
    <mergeCell ref="B150:C150"/>
    <mergeCell ref="A151:C151"/>
    <mergeCell ref="B148:C148"/>
    <mergeCell ref="B149:C149"/>
    <mergeCell ref="A135:D135"/>
    <mergeCell ref="B126:C126"/>
    <mergeCell ref="B133:C133"/>
    <mergeCell ref="B134:C134"/>
    <mergeCell ref="B124:C124"/>
    <mergeCell ref="B125:C125"/>
    <mergeCell ref="B129:C129"/>
    <mergeCell ref="B130:C130"/>
    <mergeCell ref="B136:C136"/>
    <mergeCell ref="B120:C120"/>
    <mergeCell ref="B152:C152"/>
    <mergeCell ref="B153:C153"/>
    <mergeCell ref="B25:C25"/>
    <mergeCell ref="B113:C113"/>
    <mergeCell ref="B114:C114"/>
    <mergeCell ref="A115:C115"/>
    <mergeCell ref="B109:C109"/>
    <mergeCell ref="B110:C110"/>
    <mergeCell ref="B112:C112"/>
    <mergeCell ref="B100:C100"/>
    <mergeCell ref="B93:C93"/>
    <mergeCell ref="B95:C95"/>
    <mergeCell ref="B96:C96"/>
    <mergeCell ref="B97:C97"/>
    <mergeCell ref="B104:C104"/>
    <mergeCell ref="B105:C105"/>
    <mergeCell ref="B107:C107"/>
    <mergeCell ref="B108:C108"/>
    <mergeCell ref="B101:C101"/>
    <mergeCell ref="A47:C47"/>
    <mergeCell ref="B48:C48"/>
    <mergeCell ref="B42:C42"/>
    <mergeCell ref="B37:C37"/>
    <mergeCell ref="B39:C39"/>
    <mergeCell ref="B98:C98"/>
    <mergeCell ref="B99:C99"/>
    <mergeCell ref="B116:C116"/>
    <mergeCell ref="B81:C81"/>
    <mergeCell ref="B82:C82"/>
    <mergeCell ref="B85:C85"/>
    <mergeCell ref="B91:C91"/>
    <mergeCell ref="B92:C92"/>
    <mergeCell ref="B94:C94"/>
    <mergeCell ref="B88:C88"/>
    <mergeCell ref="B89:C89"/>
    <mergeCell ref="B90:C90"/>
    <mergeCell ref="B83:C83"/>
    <mergeCell ref="B84:C84"/>
    <mergeCell ref="B86:C86"/>
    <mergeCell ref="B61:C61"/>
    <mergeCell ref="B72:C72"/>
    <mergeCell ref="B74:C74"/>
    <mergeCell ref="B43:C43"/>
    <mergeCell ref="B44:C44"/>
    <mergeCell ref="B45:C45"/>
    <mergeCell ref="B80:C80"/>
    <mergeCell ref="B87:C87"/>
    <mergeCell ref="B73:C73"/>
    <mergeCell ref="B69:C69"/>
    <mergeCell ref="B78:C78"/>
    <mergeCell ref="B79:C79"/>
    <mergeCell ref="B121:C121"/>
    <mergeCell ref="B102:C102"/>
    <mergeCell ref="B103:C103"/>
    <mergeCell ref="B51:C51"/>
    <mergeCell ref="B106:C106"/>
    <mergeCell ref="B75:C75"/>
    <mergeCell ref="B76:C76"/>
    <mergeCell ref="B77:C77"/>
    <mergeCell ref="B58:C58"/>
    <mergeCell ref="B60:C60"/>
    <mergeCell ref="B53:C53"/>
    <mergeCell ref="B54:C54"/>
    <mergeCell ref="B55:C55"/>
    <mergeCell ref="B57:C57"/>
    <mergeCell ref="B67:C67"/>
    <mergeCell ref="B68:C68"/>
    <mergeCell ref="B70:C70"/>
    <mergeCell ref="B62:C62"/>
    <mergeCell ref="B64:C64"/>
  </mergeCells>
  <printOptions horizontalCentered="1"/>
  <pageMargins left="0.59055118110236227" right="0.59055118110236227" top="0.59055118110236227" bottom="1.1811023622047245" header="0" footer="0"/>
  <pageSetup paperSize="9" scale="43" firstPageNumber="0" fitToWidth="0" fitToHeight="0" orientation="portrait" horizontalDpi="300" verticalDpi="300" r:id="rId1"/>
  <headerFooter differentFirst="1"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showZeros="0" tabSelected="1" view="pageBreakPreview" topLeftCell="D364" zoomScale="60" zoomScaleNormal="50" workbookViewId="0">
      <selection activeCell="L382" sqref="L382"/>
    </sheetView>
  </sheetViews>
  <sheetFormatPr defaultColWidth="9.140625" defaultRowHeight="18.75" x14ac:dyDescent="0.3"/>
  <cols>
    <col min="1" max="1" width="21.28515625" style="1" customWidth="1"/>
    <col min="2" max="2" width="21.140625" style="2" customWidth="1"/>
    <col min="3" max="3" width="65" style="1" customWidth="1"/>
    <col min="4" max="4" width="37.7109375" style="1" customWidth="1"/>
    <col min="5" max="5" width="33.7109375" style="3" customWidth="1"/>
    <col min="6" max="6" width="34.85546875" style="3" customWidth="1"/>
    <col min="7" max="7" width="48.140625" style="3" customWidth="1"/>
    <col min="8" max="9" width="23" style="3" customWidth="1"/>
    <col min="10" max="10" width="16.140625" style="3" customWidth="1"/>
    <col min="11" max="11" width="30.42578125" style="1" customWidth="1"/>
    <col min="12" max="12" width="9.140625" style="1"/>
    <col min="13" max="13" width="25.85546875" style="1" customWidth="1"/>
    <col min="14" max="16384" width="9.140625" style="1"/>
  </cols>
  <sheetData>
    <row r="1" spans="1:10" x14ac:dyDescent="0.3">
      <c r="F1" s="159"/>
      <c r="G1" s="159"/>
      <c r="H1" s="159"/>
      <c r="I1" s="159"/>
      <c r="J1" s="159"/>
    </row>
    <row r="2" spans="1:10" x14ac:dyDescent="0.3">
      <c r="F2" s="159"/>
      <c r="G2" s="159"/>
      <c r="H2" s="159"/>
      <c r="I2" s="159"/>
      <c r="J2" s="159"/>
    </row>
    <row r="3" spans="1:10" ht="22.5" x14ac:dyDescent="0.3">
      <c r="A3" s="160" t="s">
        <v>182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x14ac:dyDescent="0.3">
      <c r="E4" s="70"/>
      <c r="F4" s="70"/>
      <c r="G4" s="70"/>
      <c r="H4" s="70"/>
      <c r="I4" s="70"/>
      <c r="J4" s="70" t="s">
        <v>288</v>
      </c>
    </row>
    <row r="5" spans="1:10" x14ac:dyDescent="0.3">
      <c r="A5" s="161" t="s">
        <v>191</v>
      </c>
      <c r="B5" s="161" t="s">
        <v>183</v>
      </c>
      <c r="C5" s="161" t="s">
        <v>184</v>
      </c>
      <c r="D5" s="161"/>
      <c r="E5" s="143" t="s">
        <v>178</v>
      </c>
      <c r="F5" s="143" t="s">
        <v>62</v>
      </c>
      <c r="G5" s="143"/>
      <c r="H5" s="143"/>
      <c r="I5" s="143"/>
      <c r="J5" s="143"/>
    </row>
    <row r="6" spans="1:10" ht="18.75" customHeight="1" x14ac:dyDescent="0.3">
      <c r="A6" s="161" t="s">
        <v>58</v>
      </c>
      <c r="B6" s="161"/>
      <c r="C6" s="161"/>
      <c r="D6" s="161"/>
      <c r="E6" s="143"/>
      <c r="F6" s="143"/>
      <c r="G6" s="143"/>
      <c r="H6" s="143"/>
      <c r="I6" s="143"/>
      <c r="J6" s="143"/>
    </row>
    <row r="7" spans="1:10" ht="18.75" customHeight="1" x14ac:dyDescent="0.3">
      <c r="A7" s="161"/>
      <c r="B7" s="161"/>
      <c r="C7" s="161"/>
      <c r="D7" s="161"/>
      <c r="E7" s="143"/>
      <c r="F7" s="143"/>
      <c r="G7" s="143"/>
      <c r="H7" s="143"/>
      <c r="I7" s="143"/>
      <c r="J7" s="143"/>
    </row>
    <row r="8" spans="1:10" ht="66" customHeight="1" x14ac:dyDescent="0.3">
      <c r="A8" s="161"/>
      <c r="B8" s="161"/>
      <c r="C8" s="161"/>
      <c r="D8" s="161"/>
      <c r="E8" s="143"/>
      <c r="F8" s="143"/>
      <c r="G8" s="143"/>
      <c r="H8" s="143"/>
      <c r="I8" s="143"/>
      <c r="J8" s="143"/>
    </row>
    <row r="9" spans="1:10" ht="5.25" customHeight="1" x14ac:dyDescent="0.3">
      <c r="A9" s="161"/>
      <c r="B9" s="161"/>
      <c r="C9" s="161"/>
      <c r="D9" s="161"/>
      <c r="E9" s="143"/>
      <c r="F9" s="143"/>
      <c r="G9" s="143"/>
      <c r="H9" s="143"/>
      <c r="I9" s="143"/>
      <c r="J9" s="143"/>
    </row>
    <row r="10" spans="1:10" ht="24" customHeight="1" x14ac:dyDescent="0.3">
      <c r="A10" s="147" t="s">
        <v>200</v>
      </c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0" ht="29.25" customHeight="1" x14ac:dyDescent="0.3">
      <c r="A11" s="64" t="s">
        <v>204</v>
      </c>
      <c r="B11" s="68">
        <v>9110</v>
      </c>
      <c r="C11" s="100" t="s">
        <v>54</v>
      </c>
      <c r="D11" s="100"/>
      <c r="E11" s="4">
        <f>E12</f>
        <v>773719400</v>
      </c>
      <c r="F11" s="133"/>
      <c r="G11" s="133"/>
      <c r="H11" s="133"/>
      <c r="I11" s="133"/>
      <c r="J11" s="133"/>
    </row>
    <row r="12" spans="1:10" ht="33" customHeight="1" x14ac:dyDescent="0.3">
      <c r="A12" s="48">
        <v>99000000000</v>
      </c>
      <c r="B12" s="71"/>
      <c r="C12" s="97" t="s">
        <v>2</v>
      </c>
      <c r="D12" s="97"/>
      <c r="E12" s="5">
        <f>773827900-108500</f>
        <v>773719400</v>
      </c>
      <c r="F12" s="124"/>
      <c r="G12" s="124"/>
      <c r="H12" s="124"/>
      <c r="I12" s="124"/>
      <c r="J12" s="124"/>
    </row>
    <row r="13" spans="1:10" ht="61.5" customHeight="1" x14ac:dyDescent="0.3">
      <c r="A13" s="50" t="s">
        <v>185</v>
      </c>
      <c r="B13" s="68">
        <v>9130</v>
      </c>
      <c r="C13" s="100" t="s">
        <v>219</v>
      </c>
      <c r="D13" s="100"/>
      <c r="E13" s="4">
        <f>E46</f>
        <v>50000000</v>
      </c>
      <c r="F13" s="133"/>
      <c r="G13" s="133"/>
      <c r="H13" s="133"/>
      <c r="I13" s="133"/>
      <c r="J13" s="133"/>
    </row>
    <row r="14" spans="1:10" ht="33" customHeight="1" x14ac:dyDescent="0.3">
      <c r="A14" s="6" t="s">
        <v>83</v>
      </c>
      <c r="B14" s="68"/>
      <c r="C14" s="101" t="s">
        <v>84</v>
      </c>
      <c r="D14" s="102"/>
      <c r="E14" s="5">
        <v>420700</v>
      </c>
      <c r="F14" s="124"/>
      <c r="G14" s="124"/>
      <c r="H14" s="124"/>
      <c r="I14" s="124"/>
      <c r="J14" s="124"/>
    </row>
    <row r="15" spans="1:10" ht="33" customHeight="1" x14ac:dyDescent="0.3">
      <c r="A15" s="6" t="s">
        <v>17</v>
      </c>
      <c r="B15" s="68"/>
      <c r="C15" s="101" t="s">
        <v>140</v>
      </c>
      <c r="D15" s="102"/>
      <c r="E15" s="5">
        <v>3847500</v>
      </c>
      <c r="F15" s="124"/>
      <c r="G15" s="124"/>
      <c r="H15" s="124"/>
      <c r="I15" s="124"/>
      <c r="J15" s="124"/>
    </row>
    <row r="16" spans="1:10" ht="33" customHeight="1" x14ac:dyDescent="0.3">
      <c r="A16" s="6" t="s">
        <v>21</v>
      </c>
      <c r="B16" s="68"/>
      <c r="C16" s="101" t="s">
        <v>149</v>
      </c>
      <c r="D16" s="102"/>
      <c r="E16" s="5">
        <v>239500</v>
      </c>
      <c r="F16" s="124"/>
      <c r="G16" s="124"/>
      <c r="H16" s="124"/>
      <c r="I16" s="124"/>
      <c r="J16" s="124"/>
    </row>
    <row r="17" spans="1:10" ht="33" customHeight="1" x14ac:dyDescent="0.3">
      <c r="A17" s="6" t="s">
        <v>85</v>
      </c>
      <c r="B17" s="68"/>
      <c r="C17" s="101" t="s">
        <v>220</v>
      </c>
      <c r="D17" s="102"/>
      <c r="E17" s="5">
        <v>2688100</v>
      </c>
      <c r="F17" s="124"/>
      <c r="G17" s="124"/>
      <c r="H17" s="124"/>
      <c r="I17" s="124"/>
      <c r="J17" s="124"/>
    </row>
    <row r="18" spans="1:10" ht="33" customHeight="1" x14ac:dyDescent="0.3">
      <c r="A18" s="6" t="s">
        <v>57</v>
      </c>
      <c r="B18" s="68"/>
      <c r="C18" s="101" t="s">
        <v>154</v>
      </c>
      <c r="D18" s="102"/>
      <c r="E18" s="5">
        <v>4203000</v>
      </c>
      <c r="F18" s="124"/>
      <c r="G18" s="124"/>
      <c r="H18" s="124"/>
      <c r="I18" s="124"/>
      <c r="J18" s="124"/>
    </row>
    <row r="19" spans="1:10" ht="33" customHeight="1" x14ac:dyDescent="0.3">
      <c r="A19" s="6" t="s">
        <v>40</v>
      </c>
      <c r="B19" s="68"/>
      <c r="C19" s="101" t="s">
        <v>141</v>
      </c>
      <c r="D19" s="102"/>
      <c r="E19" s="5">
        <v>656700</v>
      </c>
      <c r="F19" s="124"/>
      <c r="G19" s="124"/>
      <c r="H19" s="124"/>
      <c r="I19" s="124"/>
      <c r="J19" s="124"/>
    </row>
    <row r="20" spans="1:10" ht="33" customHeight="1" x14ac:dyDescent="0.3">
      <c r="A20" s="6" t="s">
        <v>8</v>
      </c>
      <c r="B20" s="68"/>
      <c r="C20" s="101" t="s">
        <v>131</v>
      </c>
      <c r="D20" s="102"/>
      <c r="E20" s="5">
        <v>714800</v>
      </c>
      <c r="F20" s="124"/>
      <c r="G20" s="124"/>
      <c r="H20" s="124"/>
      <c r="I20" s="124"/>
      <c r="J20" s="124"/>
    </row>
    <row r="21" spans="1:10" ht="33" customHeight="1" x14ac:dyDescent="0.3">
      <c r="A21" s="6" t="s">
        <v>31</v>
      </c>
      <c r="B21" s="68"/>
      <c r="C21" s="101" t="s">
        <v>66</v>
      </c>
      <c r="D21" s="102"/>
      <c r="E21" s="5">
        <v>660500</v>
      </c>
      <c r="F21" s="124"/>
      <c r="G21" s="124"/>
      <c r="H21" s="124"/>
      <c r="I21" s="124"/>
      <c r="J21" s="124"/>
    </row>
    <row r="22" spans="1:10" ht="33" customHeight="1" x14ac:dyDescent="0.3">
      <c r="A22" s="6" t="s">
        <v>7</v>
      </c>
      <c r="B22" s="68"/>
      <c r="C22" s="101" t="s">
        <v>130</v>
      </c>
      <c r="D22" s="102"/>
      <c r="E22" s="5">
        <v>2684500</v>
      </c>
      <c r="F22" s="124"/>
      <c r="G22" s="124"/>
      <c r="H22" s="124"/>
      <c r="I22" s="124"/>
      <c r="J22" s="124"/>
    </row>
    <row r="23" spans="1:10" ht="33" customHeight="1" x14ac:dyDescent="0.3">
      <c r="A23" s="6" t="s">
        <v>48</v>
      </c>
      <c r="B23" s="68"/>
      <c r="C23" s="101" t="s">
        <v>160</v>
      </c>
      <c r="D23" s="102"/>
      <c r="E23" s="5">
        <v>2539500</v>
      </c>
      <c r="F23" s="124"/>
      <c r="G23" s="124"/>
      <c r="H23" s="124"/>
      <c r="I23" s="124"/>
      <c r="J23" s="124"/>
    </row>
    <row r="24" spans="1:10" ht="33" customHeight="1" x14ac:dyDescent="0.3">
      <c r="A24" s="6" t="s">
        <v>28</v>
      </c>
      <c r="B24" s="68"/>
      <c r="C24" s="101" t="s">
        <v>162</v>
      </c>
      <c r="D24" s="102"/>
      <c r="E24" s="5">
        <v>252500</v>
      </c>
      <c r="F24" s="124"/>
      <c r="G24" s="124"/>
      <c r="H24" s="124"/>
      <c r="I24" s="124"/>
      <c r="J24" s="124"/>
    </row>
    <row r="25" spans="1:10" ht="33" customHeight="1" x14ac:dyDescent="0.3">
      <c r="A25" s="6" t="s">
        <v>18</v>
      </c>
      <c r="B25" s="68"/>
      <c r="C25" s="101" t="s">
        <v>142</v>
      </c>
      <c r="D25" s="102"/>
      <c r="E25" s="5">
        <v>3657700</v>
      </c>
      <c r="F25" s="124"/>
      <c r="G25" s="124"/>
      <c r="H25" s="124"/>
      <c r="I25" s="124"/>
      <c r="J25" s="124"/>
    </row>
    <row r="26" spans="1:10" ht="33" customHeight="1" x14ac:dyDescent="0.3">
      <c r="A26" s="6" t="s">
        <v>221</v>
      </c>
      <c r="B26" s="68"/>
      <c r="C26" s="101" t="s">
        <v>143</v>
      </c>
      <c r="D26" s="102"/>
      <c r="E26" s="5">
        <v>360900</v>
      </c>
      <c r="F26" s="124"/>
      <c r="G26" s="124"/>
      <c r="H26" s="124"/>
      <c r="I26" s="124"/>
      <c r="J26" s="124"/>
    </row>
    <row r="27" spans="1:10" ht="33" customHeight="1" x14ac:dyDescent="0.3">
      <c r="A27" s="6" t="s">
        <v>9</v>
      </c>
      <c r="B27" s="68"/>
      <c r="C27" s="101" t="s">
        <v>132</v>
      </c>
      <c r="D27" s="102"/>
      <c r="E27" s="5">
        <v>260400</v>
      </c>
      <c r="F27" s="124"/>
      <c r="G27" s="124"/>
      <c r="H27" s="124"/>
      <c r="I27" s="124"/>
      <c r="J27" s="124"/>
    </row>
    <row r="28" spans="1:10" ht="33" customHeight="1" x14ac:dyDescent="0.3">
      <c r="A28" s="6" t="s">
        <v>23</v>
      </c>
      <c r="B28" s="68"/>
      <c r="C28" s="101" t="s">
        <v>151</v>
      </c>
      <c r="D28" s="102"/>
      <c r="E28" s="5">
        <v>647400</v>
      </c>
      <c r="F28" s="124"/>
      <c r="G28" s="124"/>
      <c r="H28" s="124"/>
      <c r="I28" s="124"/>
      <c r="J28" s="124"/>
    </row>
    <row r="29" spans="1:10" ht="33" customHeight="1" x14ac:dyDescent="0.3">
      <c r="A29" s="6" t="s">
        <v>29</v>
      </c>
      <c r="B29" s="68"/>
      <c r="C29" s="101" t="s">
        <v>155</v>
      </c>
      <c r="D29" s="102"/>
      <c r="E29" s="5">
        <v>2806000</v>
      </c>
      <c r="F29" s="124"/>
      <c r="G29" s="124"/>
      <c r="H29" s="124"/>
      <c r="I29" s="124"/>
      <c r="J29" s="124"/>
    </row>
    <row r="30" spans="1:10" ht="33" customHeight="1" x14ac:dyDescent="0.3">
      <c r="A30" s="6" t="s">
        <v>30</v>
      </c>
      <c r="B30" s="68"/>
      <c r="C30" s="101" t="s">
        <v>175</v>
      </c>
      <c r="D30" s="102"/>
      <c r="E30" s="5">
        <v>626200</v>
      </c>
      <c r="F30" s="124"/>
      <c r="G30" s="124"/>
      <c r="H30" s="124"/>
      <c r="I30" s="124"/>
      <c r="J30" s="124"/>
    </row>
    <row r="31" spans="1:10" ht="33" customHeight="1" x14ac:dyDescent="0.3">
      <c r="A31" s="6" t="s">
        <v>43</v>
      </c>
      <c r="B31" s="68"/>
      <c r="C31" s="101" t="s">
        <v>139</v>
      </c>
      <c r="D31" s="102"/>
      <c r="E31" s="5">
        <v>639300</v>
      </c>
      <c r="F31" s="124"/>
      <c r="G31" s="124"/>
      <c r="H31" s="124"/>
      <c r="I31" s="124"/>
      <c r="J31" s="124"/>
    </row>
    <row r="32" spans="1:10" ht="33" customHeight="1" x14ac:dyDescent="0.3">
      <c r="A32" s="6" t="s">
        <v>26</v>
      </c>
      <c r="B32" s="68"/>
      <c r="C32" s="101" t="s">
        <v>133</v>
      </c>
      <c r="D32" s="102"/>
      <c r="E32" s="5">
        <v>385900</v>
      </c>
      <c r="F32" s="124"/>
      <c r="G32" s="124"/>
      <c r="H32" s="124"/>
      <c r="I32" s="124"/>
      <c r="J32" s="124"/>
    </row>
    <row r="33" spans="1:10" ht="33" customHeight="1" x14ac:dyDescent="0.3">
      <c r="A33" s="6" t="s">
        <v>25</v>
      </c>
      <c r="B33" s="68"/>
      <c r="C33" s="101" t="s">
        <v>153</v>
      </c>
      <c r="D33" s="102"/>
      <c r="E33" s="5">
        <v>194700</v>
      </c>
      <c r="F33" s="124"/>
      <c r="G33" s="124"/>
      <c r="H33" s="124"/>
      <c r="I33" s="124"/>
      <c r="J33" s="124"/>
    </row>
    <row r="34" spans="1:10" ht="33" customHeight="1" x14ac:dyDescent="0.3">
      <c r="A34" s="6" t="s">
        <v>10</v>
      </c>
      <c r="B34" s="68"/>
      <c r="C34" s="101" t="s">
        <v>134</v>
      </c>
      <c r="D34" s="102"/>
      <c r="E34" s="5">
        <v>651600</v>
      </c>
      <c r="F34" s="124"/>
      <c r="G34" s="124"/>
      <c r="H34" s="124"/>
      <c r="I34" s="124"/>
      <c r="J34" s="124"/>
    </row>
    <row r="35" spans="1:10" ht="33" customHeight="1" x14ac:dyDescent="0.3">
      <c r="A35" s="6" t="s">
        <v>12</v>
      </c>
      <c r="B35" s="68"/>
      <c r="C35" s="101" t="s">
        <v>135</v>
      </c>
      <c r="D35" s="102"/>
      <c r="E35" s="5">
        <v>978700</v>
      </c>
      <c r="F35" s="124"/>
      <c r="G35" s="124"/>
      <c r="H35" s="124"/>
      <c r="I35" s="124"/>
      <c r="J35" s="124"/>
    </row>
    <row r="36" spans="1:10" ht="33" customHeight="1" x14ac:dyDescent="0.3">
      <c r="A36" s="6" t="s">
        <v>73</v>
      </c>
      <c r="B36" s="68"/>
      <c r="C36" s="101" t="s">
        <v>74</v>
      </c>
      <c r="D36" s="102"/>
      <c r="E36" s="5">
        <v>921900</v>
      </c>
      <c r="F36" s="124"/>
      <c r="G36" s="124"/>
      <c r="H36" s="124"/>
      <c r="I36" s="124"/>
      <c r="J36" s="124"/>
    </row>
    <row r="37" spans="1:10" ht="33" customHeight="1" x14ac:dyDescent="0.3">
      <c r="A37" s="6" t="s">
        <v>52</v>
      </c>
      <c r="B37" s="68"/>
      <c r="C37" s="101" t="s">
        <v>171</v>
      </c>
      <c r="D37" s="102"/>
      <c r="E37" s="5">
        <v>1842900</v>
      </c>
      <c r="F37" s="124"/>
      <c r="G37" s="124"/>
      <c r="H37" s="124"/>
      <c r="I37" s="124"/>
      <c r="J37" s="124"/>
    </row>
    <row r="38" spans="1:10" ht="33" customHeight="1" x14ac:dyDescent="0.3">
      <c r="A38" s="6" t="s">
        <v>110</v>
      </c>
      <c r="B38" s="68"/>
      <c r="C38" s="101" t="s">
        <v>111</v>
      </c>
      <c r="D38" s="102"/>
      <c r="E38" s="5">
        <v>2625100</v>
      </c>
      <c r="F38" s="124"/>
      <c r="G38" s="124"/>
      <c r="H38" s="124"/>
      <c r="I38" s="124"/>
      <c r="J38" s="124"/>
    </row>
    <row r="39" spans="1:10" ht="33" customHeight="1" x14ac:dyDescent="0.3">
      <c r="A39" s="6" t="s">
        <v>46</v>
      </c>
      <c r="B39" s="68"/>
      <c r="C39" s="101" t="s">
        <v>144</v>
      </c>
      <c r="D39" s="102"/>
      <c r="E39" s="5">
        <v>3248200</v>
      </c>
      <c r="F39" s="124"/>
      <c r="G39" s="124"/>
      <c r="H39" s="124"/>
      <c r="I39" s="124"/>
      <c r="J39" s="124"/>
    </row>
    <row r="40" spans="1:10" ht="33" customHeight="1" x14ac:dyDescent="0.3">
      <c r="A40" s="6" t="s">
        <v>114</v>
      </c>
      <c r="B40" s="68"/>
      <c r="C40" s="101" t="s">
        <v>115</v>
      </c>
      <c r="D40" s="102"/>
      <c r="E40" s="5">
        <v>4502900</v>
      </c>
      <c r="F40" s="124"/>
      <c r="G40" s="124"/>
      <c r="H40" s="124"/>
      <c r="I40" s="124"/>
      <c r="J40" s="124"/>
    </row>
    <row r="41" spans="1:10" ht="33" customHeight="1" x14ac:dyDescent="0.3">
      <c r="A41" s="6" t="s">
        <v>19</v>
      </c>
      <c r="B41" s="68"/>
      <c r="C41" s="101" t="s">
        <v>145</v>
      </c>
      <c r="D41" s="102"/>
      <c r="E41" s="5">
        <v>294400</v>
      </c>
      <c r="F41" s="124"/>
      <c r="G41" s="124"/>
      <c r="H41" s="124"/>
      <c r="I41" s="124"/>
      <c r="J41" s="124"/>
    </row>
    <row r="42" spans="1:10" ht="33" customHeight="1" x14ac:dyDescent="0.3">
      <c r="A42" s="6" t="s">
        <v>14</v>
      </c>
      <c r="B42" s="68"/>
      <c r="C42" s="101" t="s">
        <v>137</v>
      </c>
      <c r="D42" s="102"/>
      <c r="E42" s="5">
        <v>888800</v>
      </c>
      <c r="F42" s="124"/>
      <c r="G42" s="124"/>
      <c r="H42" s="124"/>
      <c r="I42" s="124"/>
      <c r="J42" s="124"/>
    </row>
    <row r="43" spans="1:10" ht="33" customHeight="1" x14ac:dyDescent="0.3">
      <c r="A43" s="7" t="s">
        <v>20</v>
      </c>
      <c r="B43" s="8"/>
      <c r="C43" s="128" t="s">
        <v>148</v>
      </c>
      <c r="D43" s="128"/>
      <c r="E43" s="5">
        <v>3067600</v>
      </c>
      <c r="F43" s="124"/>
      <c r="G43" s="124"/>
      <c r="H43" s="124"/>
      <c r="I43" s="124"/>
      <c r="J43" s="124"/>
    </row>
    <row r="44" spans="1:10" ht="33" customHeight="1" x14ac:dyDescent="0.3">
      <c r="A44" s="7" t="s">
        <v>38</v>
      </c>
      <c r="B44" s="8"/>
      <c r="C44" s="128" t="s">
        <v>156</v>
      </c>
      <c r="D44" s="128"/>
      <c r="E44" s="5">
        <v>1994400</v>
      </c>
      <c r="F44" s="124"/>
      <c r="G44" s="124"/>
      <c r="H44" s="124"/>
      <c r="I44" s="124"/>
      <c r="J44" s="124"/>
    </row>
    <row r="45" spans="1:10" ht="33" customHeight="1" x14ac:dyDescent="0.3">
      <c r="A45" s="7" t="s">
        <v>75</v>
      </c>
      <c r="B45" s="8"/>
      <c r="C45" s="128" t="s">
        <v>76</v>
      </c>
      <c r="D45" s="128"/>
      <c r="E45" s="5">
        <v>497700</v>
      </c>
      <c r="F45" s="124"/>
      <c r="G45" s="124"/>
      <c r="H45" s="124"/>
      <c r="I45" s="124"/>
      <c r="J45" s="124"/>
    </row>
    <row r="46" spans="1:10" s="10" customFormat="1" ht="33" customHeight="1" x14ac:dyDescent="0.3">
      <c r="A46" s="103" t="s">
        <v>177</v>
      </c>
      <c r="B46" s="104"/>
      <c r="C46" s="104"/>
      <c r="D46" s="105"/>
      <c r="E46" s="9">
        <f>SUM(E14:E45)</f>
        <v>50000000</v>
      </c>
      <c r="F46" s="124"/>
      <c r="G46" s="124"/>
      <c r="H46" s="124"/>
      <c r="I46" s="124"/>
      <c r="J46" s="124"/>
    </row>
    <row r="47" spans="1:10" ht="33.75" customHeight="1" x14ac:dyDescent="0.3">
      <c r="A47" s="50" t="s">
        <v>214</v>
      </c>
      <c r="B47" s="68">
        <v>9150</v>
      </c>
      <c r="C47" s="162" t="s">
        <v>215</v>
      </c>
      <c r="D47" s="163"/>
      <c r="E47" s="4">
        <f>E54+E48+E49+E50+E51+E52+E53</f>
        <v>60000000</v>
      </c>
      <c r="F47" s="124"/>
      <c r="G47" s="124"/>
      <c r="H47" s="124"/>
      <c r="I47" s="124"/>
      <c r="J47" s="124"/>
    </row>
    <row r="48" spans="1:10" s="10" customFormat="1" ht="33" customHeight="1" x14ac:dyDescent="0.3">
      <c r="A48" s="11" t="s">
        <v>93</v>
      </c>
      <c r="B48" s="71"/>
      <c r="C48" s="97" t="s">
        <v>94</v>
      </c>
      <c r="D48" s="97"/>
      <c r="E48" s="5">
        <v>2791100</v>
      </c>
      <c r="F48" s="124"/>
      <c r="G48" s="124"/>
      <c r="H48" s="124"/>
      <c r="I48" s="124"/>
      <c r="J48" s="124"/>
    </row>
    <row r="49" spans="1:10" s="10" customFormat="1" ht="33" customHeight="1" x14ac:dyDescent="0.3">
      <c r="A49" s="6" t="s">
        <v>3</v>
      </c>
      <c r="B49" s="68"/>
      <c r="C49" s="101" t="s">
        <v>124</v>
      </c>
      <c r="D49" s="102"/>
      <c r="E49" s="5">
        <v>1239000</v>
      </c>
      <c r="F49" s="124"/>
      <c r="G49" s="124"/>
      <c r="H49" s="124"/>
      <c r="I49" s="124"/>
      <c r="J49" s="124"/>
    </row>
    <row r="50" spans="1:10" s="10" customFormat="1" ht="33" customHeight="1" x14ac:dyDescent="0.3">
      <c r="A50" s="6" t="s">
        <v>7</v>
      </c>
      <c r="B50" s="68"/>
      <c r="C50" s="101" t="s">
        <v>130</v>
      </c>
      <c r="D50" s="102"/>
      <c r="E50" s="5">
        <v>1490000</v>
      </c>
      <c r="F50" s="124"/>
      <c r="G50" s="124"/>
      <c r="H50" s="124"/>
      <c r="I50" s="124"/>
      <c r="J50" s="124"/>
    </row>
    <row r="51" spans="1:10" s="10" customFormat="1" ht="33" customHeight="1" x14ac:dyDescent="0.3">
      <c r="A51" s="6" t="s">
        <v>29</v>
      </c>
      <c r="B51" s="68"/>
      <c r="C51" s="101" t="s">
        <v>155</v>
      </c>
      <c r="D51" s="102"/>
      <c r="E51" s="5">
        <v>1935100</v>
      </c>
      <c r="F51" s="124"/>
      <c r="G51" s="124"/>
      <c r="H51" s="124"/>
      <c r="I51" s="124"/>
      <c r="J51" s="124"/>
    </row>
    <row r="52" spans="1:10" s="10" customFormat="1" ht="33" customHeight="1" x14ac:dyDescent="0.3">
      <c r="A52" s="6" t="s">
        <v>30</v>
      </c>
      <c r="B52" s="68"/>
      <c r="C52" s="101" t="s">
        <v>175</v>
      </c>
      <c r="D52" s="102"/>
      <c r="E52" s="5">
        <v>1417200</v>
      </c>
      <c r="F52" s="124"/>
      <c r="G52" s="124"/>
      <c r="H52" s="124"/>
      <c r="I52" s="124"/>
      <c r="J52" s="124"/>
    </row>
    <row r="53" spans="1:10" s="10" customFormat="1" ht="33" customHeight="1" x14ac:dyDescent="0.3">
      <c r="A53" s="6" t="s">
        <v>35</v>
      </c>
      <c r="B53" s="68"/>
      <c r="C53" s="101" t="s">
        <v>159</v>
      </c>
      <c r="D53" s="102"/>
      <c r="E53" s="5">
        <v>1116000</v>
      </c>
      <c r="F53" s="124"/>
      <c r="G53" s="124"/>
      <c r="H53" s="124"/>
      <c r="I53" s="124"/>
      <c r="J53" s="124"/>
    </row>
    <row r="54" spans="1:10" s="10" customFormat="1" ht="33" customHeight="1" x14ac:dyDescent="0.3">
      <c r="A54" s="64" t="s">
        <v>0</v>
      </c>
      <c r="B54" s="50"/>
      <c r="C54" s="100" t="s">
        <v>1</v>
      </c>
      <c r="D54" s="100"/>
      <c r="E54" s="4">
        <f>60000000-9988400</f>
        <v>50011600</v>
      </c>
      <c r="F54" s="124"/>
      <c r="G54" s="124"/>
      <c r="H54" s="124"/>
      <c r="I54" s="124"/>
      <c r="J54" s="124"/>
    </row>
    <row r="55" spans="1:10" ht="105.75" customHeight="1" x14ac:dyDescent="0.3">
      <c r="A55" s="50">
        <v>3719160</v>
      </c>
      <c r="B55" s="68">
        <v>9160</v>
      </c>
      <c r="C55" s="162" t="s">
        <v>238</v>
      </c>
      <c r="D55" s="163"/>
      <c r="E55" s="4">
        <f>E62+E109</f>
        <v>102301100</v>
      </c>
      <c r="F55" s="124"/>
      <c r="G55" s="124"/>
      <c r="H55" s="124"/>
      <c r="I55" s="124"/>
      <c r="J55" s="124"/>
    </row>
    <row r="56" spans="1:10" s="10" customFormat="1" ht="33" customHeight="1" x14ac:dyDescent="0.3">
      <c r="A56" s="11" t="s">
        <v>93</v>
      </c>
      <c r="B56" s="71"/>
      <c r="C56" s="97" t="s">
        <v>94</v>
      </c>
      <c r="D56" s="97"/>
      <c r="E56" s="5">
        <f>3707800+3337000-496806.82</f>
        <v>6547993.1799999997</v>
      </c>
      <c r="F56" s="56"/>
      <c r="G56" s="57"/>
      <c r="H56" s="57"/>
      <c r="I56" s="57"/>
      <c r="J56" s="58"/>
    </row>
    <row r="57" spans="1:10" s="10" customFormat="1" ht="33" customHeight="1" x14ac:dyDescent="0.3">
      <c r="A57" s="11" t="s">
        <v>60</v>
      </c>
      <c r="B57" s="71"/>
      <c r="C57" s="97" t="s">
        <v>122</v>
      </c>
      <c r="D57" s="97"/>
      <c r="E57" s="5">
        <f>4667200-2800400</f>
        <v>1866800</v>
      </c>
      <c r="F57" s="56"/>
      <c r="G57" s="57"/>
      <c r="H57" s="57"/>
      <c r="I57" s="57"/>
      <c r="J57" s="58"/>
    </row>
    <row r="58" spans="1:10" s="10" customFormat="1" ht="33" customHeight="1" x14ac:dyDescent="0.3">
      <c r="A58" s="11" t="s">
        <v>102</v>
      </c>
      <c r="B58" s="71"/>
      <c r="C58" s="97" t="s">
        <v>103</v>
      </c>
      <c r="D58" s="97"/>
      <c r="E58" s="5">
        <v>1408900</v>
      </c>
      <c r="F58" s="56"/>
      <c r="G58" s="57"/>
      <c r="H58" s="57"/>
      <c r="I58" s="57"/>
      <c r="J58" s="58"/>
    </row>
    <row r="59" spans="1:10" s="10" customFormat="1" ht="33" customHeight="1" x14ac:dyDescent="0.3">
      <c r="A59" s="11" t="s">
        <v>106</v>
      </c>
      <c r="B59" s="71"/>
      <c r="C59" s="97" t="s">
        <v>107</v>
      </c>
      <c r="D59" s="97"/>
      <c r="E59" s="5">
        <v>6245700</v>
      </c>
      <c r="F59" s="56"/>
      <c r="G59" s="57"/>
      <c r="H59" s="57"/>
      <c r="I59" s="57"/>
      <c r="J59" s="58"/>
    </row>
    <row r="60" spans="1:10" s="10" customFormat="1" ht="33" customHeight="1" x14ac:dyDescent="0.3">
      <c r="A60" s="11" t="s">
        <v>61</v>
      </c>
      <c r="B60" s="71"/>
      <c r="C60" s="97" t="s">
        <v>123</v>
      </c>
      <c r="D60" s="97"/>
      <c r="E60" s="5">
        <f>4409800-513000</f>
        <v>3896800</v>
      </c>
      <c r="F60" s="56"/>
      <c r="G60" s="57"/>
      <c r="H60" s="57"/>
      <c r="I60" s="57"/>
      <c r="J60" s="58"/>
    </row>
    <row r="61" spans="1:10" s="10" customFormat="1" ht="33" customHeight="1" x14ac:dyDescent="0.3">
      <c r="A61" s="11" t="s">
        <v>116</v>
      </c>
      <c r="B61" s="71"/>
      <c r="C61" s="97" t="s">
        <v>117</v>
      </c>
      <c r="D61" s="97"/>
      <c r="E61" s="5">
        <v>831200</v>
      </c>
      <c r="F61" s="56"/>
      <c r="G61" s="57"/>
      <c r="H61" s="57"/>
      <c r="I61" s="57"/>
      <c r="J61" s="58"/>
    </row>
    <row r="62" spans="1:10" s="10" customFormat="1" ht="33" customHeight="1" x14ac:dyDescent="0.3">
      <c r="A62" s="129" t="s">
        <v>206</v>
      </c>
      <c r="B62" s="129"/>
      <c r="C62" s="129"/>
      <c r="D62" s="129"/>
      <c r="E62" s="4">
        <f>SUM(E56:E61)</f>
        <v>20797393.18</v>
      </c>
      <c r="F62" s="56"/>
      <c r="G62" s="57"/>
      <c r="H62" s="57"/>
      <c r="I62" s="57"/>
      <c r="J62" s="58"/>
    </row>
    <row r="63" spans="1:10" s="10" customFormat="1" ht="34.5" customHeight="1" x14ac:dyDescent="0.3">
      <c r="A63" s="6" t="s">
        <v>3</v>
      </c>
      <c r="B63" s="68"/>
      <c r="C63" s="101" t="s">
        <v>124</v>
      </c>
      <c r="D63" s="102"/>
      <c r="E63" s="5">
        <f>3476700+1954200</f>
        <v>5430900</v>
      </c>
      <c r="F63" s="56"/>
      <c r="G63" s="57"/>
      <c r="H63" s="57"/>
      <c r="I63" s="57"/>
      <c r="J63" s="58"/>
    </row>
    <row r="64" spans="1:10" s="10" customFormat="1" ht="33" customHeight="1" x14ac:dyDescent="0.3">
      <c r="A64" s="6" t="s">
        <v>16</v>
      </c>
      <c r="B64" s="68"/>
      <c r="C64" s="101" t="s">
        <v>126</v>
      </c>
      <c r="D64" s="102"/>
      <c r="E64" s="5">
        <f>1328600-265100</f>
        <v>1063500</v>
      </c>
      <c r="F64" s="56"/>
      <c r="G64" s="57"/>
      <c r="H64" s="57"/>
      <c r="I64" s="57"/>
      <c r="J64" s="58"/>
    </row>
    <row r="65" spans="1:10" s="10" customFormat="1" ht="33" customHeight="1" x14ac:dyDescent="0.3">
      <c r="A65" s="6" t="s">
        <v>47</v>
      </c>
      <c r="B65" s="68"/>
      <c r="C65" s="101" t="s">
        <v>129</v>
      </c>
      <c r="D65" s="102"/>
      <c r="E65" s="5">
        <f>174200-61999.36</f>
        <v>112200.64</v>
      </c>
      <c r="F65" s="56"/>
      <c r="G65" s="57"/>
      <c r="H65" s="57"/>
      <c r="I65" s="57"/>
      <c r="J65" s="58"/>
    </row>
    <row r="66" spans="1:10" s="10" customFormat="1" ht="33" customHeight="1" x14ac:dyDescent="0.3">
      <c r="A66" s="6" t="s">
        <v>17</v>
      </c>
      <c r="B66" s="68"/>
      <c r="C66" s="101" t="s">
        <v>140</v>
      </c>
      <c r="D66" s="102"/>
      <c r="E66" s="5">
        <f>6234700+1614111</f>
        <v>7848811</v>
      </c>
      <c r="F66" s="56"/>
      <c r="G66" s="57"/>
      <c r="H66" s="57"/>
      <c r="I66" s="57"/>
      <c r="J66" s="58"/>
    </row>
    <row r="67" spans="1:10" s="10" customFormat="1" ht="33" customHeight="1" x14ac:dyDescent="0.3">
      <c r="A67" s="6" t="s">
        <v>57</v>
      </c>
      <c r="B67" s="68"/>
      <c r="C67" s="101" t="s">
        <v>154</v>
      </c>
      <c r="D67" s="102"/>
      <c r="E67" s="5">
        <f>6121200-481004.51</f>
        <v>5640195.4900000002</v>
      </c>
      <c r="F67" s="56"/>
      <c r="G67" s="57"/>
      <c r="H67" s="57"/>
      <c r="I67" s="57"/>
      <c r="J67" s="58"/>
    </row>
    <row r="68" spans="1:10" s="10" customFormat="1" ht="33" customHeight="1" x14ac:dyDescent="0.3">
      <c r="A68" s="6" t="s">
        <v>40</v>
      </c>
      <c r="B68" s="68"/>
      <c r="C68" s="101" t="s">
        <v>141</v>
      </c>
      <c r="D68" s="102"/>
      <c r="E68" s="5">
        <v>154600</v>
      </c>
      <c r="F68" s="56"/>
      <c r="G68" s="57"/>
      <c r="H68" s="57"/>
      <c r="I68" s="57"/>
      <c r="J68" s="58"/>
    </row>
    <row r="69" spans="1:10" s="10" customFormat="1" ht="33" customHeight="1" x14ac:dyDescent="0.3">
      <c r="A69" s="6" t="s">
        <v>8</v>
      </c>
      <c r="B69" s="68"/>
      <c r="C69" s="101" t="s">
        <v>131</v>
      </c>
      <c r="D69" s="102"/>
      <c r="E69" s="5">
        <f>947200-323843.99</f>
        <v>623356.01</v>
      </c>
      <c r="F69" s="56"/>
      <c r="G69" s="57"/>
      <c r="H69" s="57"/>
      <c r="I69" s="57"/>
      <c r="J69" s="58"/>
    </row>
    <row r="70" spans="1:10" s="10" customFormat="1" ht="33" customHeight="1" x14ac:dyDescent="0.3">
      <c r="A70" s="6" t="s">
        <v>39</v>
      </c>
      <c r="B70" s="68"/>
      <c r="C70" s="101" t="s">
        <v>169</v>
      </c>
      <c r="D70" s="102"/>
      <c r="E70" s="5">
        <v>93000</v>
      </c>
      <c r="F70" s="56"/>
      <c r="G70" s="57"/>
      <c r="H70" s="57"/>
      <c r="I70" s="57"/>
      <c r="J70" s="58"/>
    </row>
    <row r="71" spans="1:10" s="10" customFormat="1" ht="33" customHeight="1" x14ac:dyDescent="0.3">
      <c r="A71" s="6" t="s">
        <v>31</v>
      </c>
      <c r="B71" s="68"/>
      <c r="C71" s="101" t="s">
        <v>66</v>
      </c>
      <c r="D71" s="102"/>
      <c r="E71" s="5">
        <f>1183900-111700</f>
        <v>1072200</v>
      </c>
      <c r="F71" s="56"/>
      <c r="G71" s="57"/>
      <c r="H71" s="57"/>
      <c r="I71" s="57"/>
      <c r="J71" s="58"/>
    </row>
    <row r="72" spans="1:10" s="10" customFormat="1" ht="33" customHeight="1" x14ac:dyDescent="0.3">
      <c r="A72" s="6" t="s">
        <v>69</v>
      </c>
      <c r="B72" s="68"/>
      <c r="C72" s="101" t="s">
        <v>234</v>
      </c>
      <c r="D72" s="102"/>
      <c r="E72" s="5">
        <v>157200</v>
      </c>
      <c r="F72" s="56"/>
      <c r="G72" s="57"/>
      <c r="H72" s="57"/>
      <c r="I72" s="57"/>
      <c r="J72" s="58"/>
    </row>
    <row r="73" spans="1:10" s="10" customFormat="1" ht="33" customHeight="1" x14ac:dyDescent="0.3">
      <c r="A73" s="6" t="s">
        <v>7</v>
      </c>
      <c r="B73" s="68"/>
      <c r="C73" s="101" t="s">
        <v>130</v>
      </c>
      <c r="D73" s="102"/>
      <c r="E73" s="5">
        <f>1641500-578547.84</f>
        <v>1062952.1600000001</v>
      </c>
      <c r="F73" s="56"/>
      <c r="G73" s="57"/>
      <c r="H73" s="57"/>
      <c r="I73" s="57"/>
      <c r="J73" s="58"/>
    </row>
    <row r="74" spans="1:10" s="10" customFormat="1" ht="33" customHeight="1" x14ac:dyDescent="0.3">
      <c r="A74" s="6" t="s">
        <v>48</v>
      </c>
      <c r="B74" s="68"/>
      <c r="C74" s="101" t="s">
        <v>160</v>
      </c>
      <c r="D74" s="102"/>
      <c r="E74" s="5">
        <f>858100-171700</f>
        <v>686400</v>
      </c>
      <c r="F74" s="56"/>
      <c r="G74" s="57"/>
      <c r="H74" s="57"/>
      <c r="I74" s="57"/>
      <c r="J74" s="58"/>
    </row>
    <row r="75" spans="1:10" s="10" customFormat="1" ht="33" customHeight="1" x14ac:dyDescent="0.3">
      <c r="A75" s="6" t="s">
        <v>28</v>
      </c>
      <c r="B75" s="68"/>
      <c r="C75" s="101" t="s">
        <v>162</v>
      </c>
      <c r="D75" s="102"/>
      <c r="E75" s="5">
        <v>445600</v>
      </c>
      <c r="F75" s="56"/>
      <c r="G75" s="57"/>
      <c r="H75" s="57"/>
      <c r="I75" s="57"/>
      <c r="J75" s="58"/>
    </row>
    <row r="76" spans="1:10" s="10" customFormat="1" ht="33" customHeight="1" x14ac:dyDescent="0.3">
      <c r="A76" s="6" t="s">
        <v>18</v>
      </c>
      <c r="B76" s="68"/>
      <c r="C76" s="101" t="s">
        <v>142</v>
      </c>
      <c r="D76" s="102"/>
      <c r="E76" s="5">
        <f>3649500+235000</f>
        <v>3884500</v>
      </c>
      <c r="F76" s="56"/>
      <c r="G76" s="57"/>
      <c r="H76" s="57"/>
      <c r="I76" s="57"/>
      <c r="J76" s="58"/>
    </row>
    <row r="77" spans="1:10" s="10" customFormat="1" ht="33" customHeight="1" x14ac:dyDescent="0.3">
      <c r="A77" s="6" t="s">
        <v>51</v>
      </c>
      <c r="B77" s="68"/>
      <c r="C77" s="101" t="s">
        <v>170</v>
      </c>
      <c r="D77" s="102"/>
      <c r="E77" s="5">
        <f>227000-33800</f>
        <v>193200</v>
      </c>
      <c r="F77" s="56"/>
      <c r="G77" s="57"/>
      <c r="H77" s="57"/>
      <c r="I77" s="57"/>
      <c r="J77" s="58"/>
    </row>
    <row r="78" spans="1:10" s="10" customFormat="1" ht="33" customHeight="1" x14ac:dyDescent="0.3">
      <c r="A78" s="6" t="s">
        <v>221</v>
      </c>
      <c r="B78" s="68"/>
      <c r="C78" s="101" t="s">
        <v>143</v>
      </c>
      <c r="D78" s="102"/>
      <c r="E78" s="5">
        <f>971200-3398.49</f>
        <v>967801.51</v>
      </c>
      <c r="F78" s="56"/>
      <c r="G78" s="57"/>
      <c r="H78" s="57"/>
      <c r="I78" s="57"/>
      <c r="J78" s="58"/>
    </row>
    <row r="79" spans="1:10" s="10" customFormat="1" ht="33" customHeight="1" x14ac:dyDescent="0.3">
      <c r="A79" s="6" t="s">
        <v>97</v>
      </c>
      <c r="B79" s="68"/>
      <c r="C79" s="101" t="s">
        <v>98</v>
      </c>
      <c r="D79" s="102"/>
      <c r="E79" s="5">
        <f>3525200+118226.49</f>
        <v>3643426.49</v>
      </c>
      <c r="F79" s="56"/>
      <c r="G79" s="57"/>
      <c r="H79" s="57"/>
      <c r="I79" s="57"/>
      <c r="J79" s="58"/>
    </row>
    <row r="80" spans="1:10" s="10" customFormat="1" ht="33" customHeight="1" x14ac:dyDescent="0.3">
      <c r="A80" s="6" t="s">
        <v>9</v>
      </c>
      <c r="B80" s="68"/>
      <c r="C80" s="101" t="s">
        <v>132</v>
      </c>
      <c r="D80" s="102"/>
      <c r="E80" s="5">
        <f>307100-95904.69</f>
        <v>211195.31</v>
      </c>
      <c r="F80" s="56"/>
      <c r="G80" s="57"/>
      <c r="H80" s="57"/>
      <c r="I80" s="57"/>
      <c r="J80" s="58"/>
    </row>
    <row r="81" spans="1:10" s="10" customFormat="1" ht="33" customHeight="1" x14ac:dyDescent="0.3">
      <c r="A81" s="6" t="s">
        <v>71</v>
      </c>
      <c r="B81" s="68"/>
      <c r="C81" s="101" t="s">
        <v>72</v>
      </c>
      <c r="D81" s="102"/>
      <c r="E81" s="5">
        <v>4491100</v>
      </c>
      <c r="F81" s="56"/>
      <c r="G81" s="57"/>
      <c r="H81" s="57"/>
      <c r="I81" s="57"/>
      <c r="J81" s="58"/>
    </row>
    <row r="82" spans="1:10" s="10" customFormat="1" ht="34.5" customHeight="1" x14ac:dyDescent="0.3">
      <c r="A82" s="6" t="s">
        <v>23</v>
      </c>
      <c r="B82" s="68"/>
      <c r="C82" s="101" t="s">
        <v>151</v>
      </c>
      <c r="D82" s="102"/>
      <c r="E82" s="5">
        <v>841200</v>
      </c>
      <c r="F82" s="56"/>
      <c r="G82" s="57"/>
      <c r="H82" s="57"/>
      <c r="I82" s="57"/>
      <c r="J82" s="58"/>
    </row>
    <row r="83" spans="1:10" s="10" customFormat="1" ht="33" customHeight="1" x14ac:dyDescent="0.3">
      <c r="A83" s="6" t="s">
        <v>29</v>
      </c>
      <c r="B83" s="68"/>
      <c r="C83" s="101" t="s">
        <v>155</v>
      </c>
      <c r="D83" s="102"/>
      <c r="E83" s="5">
        <f>1973600+1776200</f>
        <v>3749800</v>
      </c>
      <c r="F83" s="56"/>
      <c r="G83" s="57"/>
      <c r="H83" s="57"/>
      <c r="I83" s="57"/>
      <c r="J83" s="58"/>
    </row>
    <row r="84" spans="1:10" s="10" customFormat="1" ht="33" customHeight="1" x14ac:dyDescent="0.3">
      <c r="A84" s="6" t="s">
        <v>30</v>
      </c>
      <c r="B84" s="68"/>
      <c r="C84" s="101" t="s">
        <v>175</v>
      </c>
      <c r="D84" s="102"/>
      <c r="E84" s="5">
        <f>1216800+1095100-111043</f>
        <v>2200857</v>
      </c>
      <c r="F84" s="56"/>
      <c r="G84" s="57"/>
      <c r="H84" s="57"/>
      <c r="I84" s="57"/>
      <c r="J84" s="58"/>
    </row>
    <row r="85" spans="1:10" s="10" customFormat="1" ht="33" customHeight="1" x14ac:dyDescent="0.3">
      <c r="A85" s="6" t="s">
        <v>43</v>
      </c>
      <c r="B85" s="68"/>
      <c r="C85" s="101" t="s">
        <v>139</v>
      </c>
      <c r="D85" s="102"/>
      <c r="E85" s="5">
        <v>985700</v>
      </c>
      <c r="F85" s="56"/>
      <c r="G85" s="57"/>
      <c r="H85" s="57"/>
      <c r="I85" s="57"/>
      <c r="J85" s="58"/>
    </row>
    <row r="86" spans="1:10" s="10" customFormat="1" ht="33" customHeight="1" x14ac:dyDescent="0.3">
      <c r="A86" s="6" t="s">
        <v>104</v>
      </c>
      <c r="B86" s="68"/>
      <c r="C86" s="101" t="s">
        <v>105</v>
      </c>
      <c r="D86" s="102"/>
      <c r="E86" s="5">
        <f>8450200-3380000+507697</f>
        <v>5577897</v>
      </c>
      <c r="F86" s="56"/>
      <c r="G86" s="57"/>
      <c r="H86" s="57"/>
      <c r="I86" s="57"/>
      <c r="J86" s="58"/>
    </row>
    <row r="87" spans="1:10" s="10" customFormat="1" ht="33" customHeight="1" x14ac:dyDescent="0.3">
      <c r="A87" s="6" t="s">
        <v>10</v>
      </c>
      <c r="B87" s="68"/>
      <c r="C87" s="101" t="s">
        <v>134</v>
      </c>
      <c r="D87" s="102"/>
      <c r="E87" s="5">
        <v>382900</v>
      </c>
      <c r="F87" s="56"/>
      <c r="G87" s="57"/>
      <c r="H87" s="57"/>
      <c r="I87" s="57"/>
      <c r="J87" s="58"/>
    </row>
    <row r="88" spans="1:10" s="10" customFormat="1" ht="33" customHeight="1" x14ac:dyDescent="0.3">
      <c r="A88" s="6" t="s">
        <v>12</v>
      </c>
      <c r="B88" s="68"/>
      <c r="C88" s="101" t="s">
        <v>135</v>
      </c>
      <c r="D88" s="102"/>
      <c r="E88" s="5">
        <v>593900</v>
      </c>
      <c r="F88" s="56"/>
      <c r="G88" s="57"/>
      <c r="H88" s="57"/>
      <c r="I88" s="57"/>
      <c r="J88" s="58"/>
    </row>
    <row r="89" spans="1:10" s="10" customFormat="1" ht="33" customHeight="1" x14ac:dyDescent="0.3">
      <c r="A89" s="6" t="s">
        <v>73</v>
      </c>
      <c r="B89" s="68"/>
      <c r="C89" s="101" t="s">
        <v>74</v>
      </c>
      <c r="D89" s="102"/>
      <c r="E89" s="5">
        <v>207000</v>
      </c>
      <c r="F89" s="56"/>
      <c r="G89" s="57"/>
      <c r="H89" s="57"/>
      <c r="I89" s="57"/>
      <c r="J89" s="58"/>
    </row>
    <row r="90" spans="1:10" s="10" customFormat="1" ht="33" customHeight="1" x14ac:dyDescent="0.3">
      <c r="A90" s="6" t="s">
        <v>114</v>
      </c>
      <c r="B90" s="68"/>
      <c r="C90" s="101" t="s">
        <v>115</v>
      </c>
      <c r="D90" s="102"/>
      <c r="E90" s="5">
        <v>4600400</v>
      </c>
      <c r="F90" s="56"/>
      <c r="G90" s="57"/>
      <c r="H90" s="57"/>
      <c r="I90" s="57"/>
      <c r="J90" s="58"/>
    </row>
    <row r="91" spans="1:10" s="10" customFormat="1" ht="33" customHeight="1" x14ac:dyDescent="0.3">
      <c r="A91" s="6" t="s">
        <v>52</v>
      </c>
      <c r="B91" s="68"/>
      <c r="C91" s="101" t="s">
        <v>171</v>
      </c>
      <c r="D91" s="102"/>
      <c r="E91" s="5">
        <f>802100-160900</f>
        <v>641200</v>
      </c>
      <c r="F91" s="56"/>
      <c r="G91" s="57"/>
      <c r="H91" s="57"/>
      <c r="I91" s="57"/>
      <c r="J91" s="58"/>
    </row>
    <row r="92" spans="1:10" s="10" customFormat="1" ht="33" customHeight="1" x14ac:dyDescent="0.3">
      <c r="A92" s="6" t="s">
        <v>110</v>
      </c>
      <c r="B92" s="68"/>
      <c r="C92" s="101" t="s">
        <v>111</v>
      </c>
      <c r="D92" s="102"/>
      <c r="E92" s="5">
        <v>1244600</v>
      </c>
      <c r="F92" s="56"/>
      <c r="G92" s="57"/>
      <c r="H92" s="57"/>
      <c r="I92" s="57"/>
      <c r="J92" s="58"/>
    </row>
    <row r="93" spans="1:10" s="10" customFormat="1" ht="33" customHeight="1" x14ac:dyDescent="0.3">
      <c r="A93" s="6" t="s">
        <v>46</v>
      </c>
      <c r="B93" s="68"/>
      <c r="C93" s="101" t="s">
        <v>144</v>
      </c>
      <c r="D93" s="102"/>
      <c r="E93" s="5">
        <v>4591400</v>
      </c>
      <c r="F93" s="56"/>
      <c r="G93" s="57"/>
      <c r="H93" s="57"/>
      <c r="I93" s="57"/>
      <c r="J93" s="58"/>
    </row>
    <row r="94" spans="1:10" s="10" customFormat="1" ht="33" customHeight="1" x14ac:dyDescent="0.3">
      <c r="A94" s="11" t="s">
        <v>112</v>
      </c>
      <c r="B94" s="71"/>
      <c r="C94" s="97" t="s">
        <v>113</v>
      </c>
      <c r="D94" s="97"/>
      <c r="E94" s="5">
        <f>2708000-190500-660700</f>
        <v>1856800</v>
      </c>
      <c r="F94" s="56"/>
      <c r="G94" s="57"/>
      <c r="H94" s="57"/>
      <c r="I94" s="57"/>
      <c r="J94" s="58"/>
    </row>
    <row r="95" spans="1:10" s="10" customFormat="1" ht="33" customHeight="1" x14ac:dyDescent="0.3">
      <c r="A95" s="6" t="s">
        <v>35</v>
      </c>
      <c r="B95" s="68"/>
      <c r="C95" s="101" t="s">
        <v>159</v>
      </c>
      <c r="D95" s="102"/>
      <c r="E95" s="5">
        <f>1801400+1621300-1621300</f>
        <v>1801400</v>
      </c>
      <c r="F95" s="56"/>
      <c r="G95" s="57"/>
      <c r="H95" s="57"/>
      <c r="I95" s="57"/>
      <c r="J95" s="58"/>
    </row>
    <row r="96" spans="1:10" s="10" customFormat="1" ht="33" customHeight="1" x14ac:dyDescent="0.3">
      <c r="A96" s="6" t="s">
        <v>19</v>
      </c>
      <c r="B96" s="68"/>
      <c r="C96" s="101" t="s">
        <v>145</v>
      </c>
      <c r="D96" s="102"/>
      <c r="E96" s="5">
        <v>153000</v>
      </c>
      <c r="F96" s="56"/>
      <c r="G96" s="57"/>
      <c r="H96" s="57"/>
      <c r="I96" s="57"/>
      <c r="J96" s="58"/>
    </row>
    <row r="97" spans="1:10" s="10" customFormat="1" ht="33" customHeight="1" x14ac:dyDescent="0.3">
      <c r="A97" s="6" t="s">
        <v>50</v>
      </c>
      <c r="B97" s="68"/>
      <c r="C97" s="101" t="s">
        <v>168</v>
      </c>
      <c r="D97" s="102"/>
      <c r="E97" s="5">
        <f>579900-71885.79</f>
        <v>508014.21</v>
      </c>
      <c r="F97" s="56"/>
      <c r="G97" s="57"/>
      <c r="H97" s="57"/>
      <c r="I97" s="57"/>
      <c r="J97" s="58"/>
    </row>
    <row r="98" spans="1:10" s="10" customFormat="1" ht="33" customHeight="1" x14ac:dyDescent="0.3">
      <c r="A98" s="6" t="s">
        <v>6</v>
      </c>
      <c r="B98" s="68"/>
      <c r="C98" s="101" t="s">
        <v>128</v>
      </c>
      <c r="D98" s="102"/>
      <c r="E98" s="5">
        <v>304500</v>
      </c>
      <c r="F98" s="56"/>
      <c r="G98" s="57"/>
      <c r="H98" s="57"/>
      <c r="I98" s="57"/>
      <c r="J98" s="58"/>
    </row>
    <row r="99" spans="1:10" s="10" customFormat="1" ht="33" customHeight="1" x14ac:dyDescent="0.3">
      <c r="A99" s="6" t="s">
        <v>36</v>
      </c>
      <c r="B99" s="68"/>
      <c r="C99" s="101" t="s">
        <v>161</v>
      </c>
      <c r="D99" s="102"/>
      <c r="E99" s="5">
        <v>191800</v>
      </c>
      <c r="F99" s="56"/>
      <c r="G99" s="57"/>
      <c r="H99" s="57"/>
      <c r="I99" s="57"/>
      <c r="J99" s="58"/>
    </row>
    <row r="100" spans="1:10" s="10" customFormat="1" ht="33" customHeight="1" x14ac:dyDescent="0.3">
      <c r="A100" s="6" t="s">
        <v>118</v>
      </c>
      <c r="B100" s="68"/>
      <c r="C100" s="101" t="s">
        <v>235</v>
      </c>
      <c r="D100" s="102"/>
      <c r="E100" s="5">
        <v>75400</v>
      </c>
      <c r="F100" s="56"/>
      <c r="G100" s="57"/>
      <c r="H100" s="57"/>
      <c r="I100" s="57"/>
      <c r="J100" s="58"/>
    </row>
    <row r="101" spans="1:10" s="10" customFormat="1" ht="33" customHeight="1" x14ac:dyDescent="0.3">
      <c r="A101" s="6" t="s">
        <v>13</v>
      </c>
      <c r="B101" s="68"/>
      <c r="C101" s="101" t="s">
        <v>136</v>
      </c>
      <c r="D101" s="102"/>
      <c r="E101" s="5">
        <f>3368800-673800</f>
        <v>2695000</v>
      </c>
      <c r="F101" s="56"/>
      <c r="G101" s="57"/>
      <c r="H101" s="57"/>
      <c r="I101" s="57"/>
      <c r="J101" s="58"/>
    </row>
    <row r="102" spans="1:10" s="10" customFormat="1" ht="33" customHeight="1" x14ac:dyDescent="0.3">
      <c r="A102" s="6" t="s">
        <v>44</v>
      </c>
      <c r="B102" s="68"/>
      <c r="C102" s="101" t="s">
        <v>236</v>
      </c>
      <c r="D102" s="102"/>
      <c r="E102" s="5">
        <f>2909600+960000</f>
        <v>3869600</v>
      </c>
      <c r="F102" s="56"/>
      <c r="G102" s="57"/>
      <c r="H102" s="57"/>
      <c r="I102" s="57"/>
      <c r="J102" s="58"/>
    </row>
    <row r="103" spans="1:10" s="10" customFormat="1" ht="33" customHeight="1" x14ac:dyDescent="0.3">
      <c r="A103" s="6" t="s">
        <v>14</v>
      </c>
      <c r="B103" s="68"/>
      <c r="C103" s="101" t="s">
        <v>137</v>
      </c>
      <c r="D103" s="102"/>
      <c r="E103" s="5">
        <v>854500</v>
      </c>
      <c r="F103" s="56"/>
      <c r="G103" s="57"/>
      <c r="H103" s="57"/>
      <c r="I103" s="57"/>
      <c r="J103" s="58"/>
    </row>
    <row r="104" spans="1:10" s="10" customFormat="1" ht="33" customHeight="1" x14ac:dyDescent="0.3">
      <c r="A104" s="7" t="s">
        <v>41</v>
      </c>
      <c r="B104" s="8"/>
      <c r="C104" s="128" t="s">
        <v>147</v>
      </c>
      <c r="D104" s="128"/>
      <c r="E104" s="5">
        <f>1978000-358900</f>
        <v>1619100</v>
      </c>
      <c r="F104" s="56"/>
      <c r="G104" s="57"/>
      <c r="H104" s="57"/>
      <c r="I104" s="57"/>
      <c r="J104" s="58"/>
    </row>
    <row r="105" spans="1:10" s="10" customFormat="1" ht="33" customHeight="1" x14ac:dyDescent="0.3">
      <c r="A105" s="7" t="s">
        <v>55</v>
      </c>
      <c r="B105" s="8"/>
      <c r="C105" s="128" t="s">
        <v>167</v>
      </c>
      <c r="D105" s="128"/>
      <c r="E105" s="5">
        <v>244200</v>
      </c>
      <c r="F105" s="56"/>
      <c r="G105" s="57"/>
      <c r="H105" s="57"/>
      <c r="I105" s="57"/>
      <c r="J105" s="58"/>
    </row>
    <row r="106" spans="1:10" s="10" customFormat="1" ht="33" customHeight="1" x14ac:dyDescent="0.3">
      <c r="A106" s="7" t="s">
        <v>20</v>
      </c>
      <c r="B106" s="8"/>
      <c r="C106" s="128" t="s">
        <v>148</v>
      </c>
      <c r="D106" s="128"/>
      <c r="E106" s="5">
        <v>3332600</v>
      </c>
      <c r="F106" s="56"/>
      <c r="G106" s="57"/>
      <c r="H106" s="57"/>
      <c r="I106" s="57"/>
      <c r="J106" s="58"/>
    </row>
    <row r="107" spans="1:10" s="10" customFormat="1" ht="33" customHeight="1" x14ac:dyDescent="0.3">
      <c r="A107" s="7" t="s">
        <v>38</v>
      </c>
      <c r="B107" s="8"/>
      <c r="C107" s="128" t="s">
        <v>156</v>
      </c>
      <c r="D107" s="128"/>
      <c r="E107" s="5">
        <v>317600</v>
      </c>
      <c r="F107" s="56"/>
      <c r="G107" s="57"/>
      <c r="H107" s="57"/>
      <c r="I107" s="57"/>
      <c r="J107" s="58"/>
    </row>
    <row r="108" spans="1:10" s="10" customFormat="1" ht="33" customHeight="1" x14ac:dyDescent="0.3">
      <c r="A108" s="7" t="s">
        <v>75</v>
      </c>
      <c r="B108" s="8"/>
      <c r="C108" s="128" t="s">
        <v>76</v>
      </c>
      <c r="D108" s="128"/>
      <c r="E108" s="5">
        <f>333800-52600</f>
        <v>281200</v>
      </c>
      <c r="F108" s="56"/>
      <c r="G108" s="57"/>
      <c r="H108" s="57"/>
      <c r="I108" s="57"/>
      <c r="J108" s="58"/>
    </row>
    <row r="109" spans="1:10" s="10" customFormat="1" ht="33" customHeight="1" x14ac:dyDescent="0.3">
      <c r="A109" s="129" t="s">
        <v>177</v>
      </c>
      <c r="B109" s="129"/>
      <c r="C109" s="129"/>
      <c r="D109" s="129"/>
      <c r="E109" s="4">
        <f>SUM(E63:E108)</f>
        <v>81503706.819999993</v>
      </c>
      <c r="F109" s="56"/>
      <c r="G109" s="57"/>
      <c r="H109" s="57"/>
      <c r="I109" s="57"/>
      <c r="J109" s="58"/>
    </row>
    <row r="110" spans="1:10" ht="96.75" customHeight="1" x14ac:dyDescent="0.3">
      <c r="A110" s="187" t="s">
        <v>186</v>
      </c>
      <c r="B110" s="186">
        <v>9270</v>
      </c>
      <c r="C110" s="151" t="s">
        <v>205</v>
      </c>
      <c r="D110" s="152"/>
      <c r="E110" s="173">
        <f>F111+G111</f>
        <v>11289600</v>
      </c>
      <c r="F110" s="72" t="s">
        <v>225</v>
      </c>
      <c r="G110" s="76"/>
      <c r="H110" s="74"/>
      <c r="I110" s="74"/>
      <c r="J110" s="75"/>
    </row>
    <row r="111" spans="1:10" ht="24" customHeight="1" x14ac:dyDescent="0.3">
      <c r="A111" s="188"/>
      <c r="B111" s="172"/>
      <c r="C111" s="153"/>
      <c r="D111" s="154"/>
      <c r="E111" s="174"/>
      <c r="F111" s="69">
        <f>F112+F115+F120</f>
        <v>11289600</v>
      </c>
      <c r="G111" s="76">
        <f>G112+G115+G120</f>
        <v>0</v>
      </c>
      <c r="H111" s="74"/>
      <c r="I111" s="74"/>
      <c r="J111" s="75"/>
    </row>
    <row r="112" spans="1:10" s="10" customFormat="1" ht="33" customHeight="1" x14ac:dyDescent="0.3">
      <c r="A112" s="64" t="s">
        <v>0</v>
      </c>
      <c r="B112" s="50"/>
      <c r="C112" s="100" t="s">
        <v>1</v>
      </c>
      <c r="D112" s="100"/>
      <c r="E112" s="4">
        <f>F112+G112</f>
        <v>6847054.1499999994</v>
      </c>
      <c r="F112" s="4">
        <f>11289600-4785295.2+342749.35</f>
        <v>6847054.1499999994</v>
      </c>
      <c r="G112" s="76">
        <f>90575000-90575000</f>
        <v>0</v>
      </c>
      <c r="H112" s="74"/>
      <c r="I112" s="74"/>
      <c r="J112" s="75"/>
    </row>
    <row r="113" spans="1:10" s="10" customFormat="1" ht="33" customHeight="1" x14ac:dyDescent="0.3">
      <c r="A113" s="11" t="s">
        <v>81</v>
      </c>
      <c r="B113" s="71"/>
      <c r="C113" s="97" t="s">
        <v>82</v>
      </c>
      <c r="D113" s="97"/>
      <c r="E113" s="5">
        <f>F113+G113</f>
        <v>683396</v>
      </c>
      <c r="F113" s="5">
        <f>756700-73304</f>
        <v>683396</v>
      </c>
      <c r="G113" s="76"/>
      <c r="H113" s="74"/>
      <c r="I113" s="74"/>
      <c r="J113" s="75"/>
    </row>
    <row r="114" spans="1:10" s="10" customFormat="1" ht="33" customHeight="1" x14ac:dyDescent="0.3">
      <c r="A114" s="11" t="s">
        <v>61</v>
      </c>
      <c r="B114" s="71"/>
      <c r="C114" s="97" t="s">
        <v>123</v>
      </c>
      <c r="D114" s="97"/>
      <c r="E114" s="5">
        <f>F114+G114</f>
        <v>801593.48</v>
      </c>
      <c r="F114" s="5">
        <f>887348-85754.52</f>
        <v>801593.48</v>
      </c>
      <c r="G114" s="76"/>
      <c r="H114" s="74"/>
      <c r="I114" s="74"/>
      <c r="J114" s="75"/>
    </row>
    <row r="115" spans="1:10" s="10" customFormat="1" ht="33" customHeight="1" x14ac:dyDescent="0.3">
      <c r="A115" s="129" t="s">
        <v>206</v>
      </c>
      <c r="B115" s="129"/>
      <c r="C115" s="129"/>
      <c r="D115" s="129"/>
      <c r="E115" s="4">
        <f>SUM(E113:E114)</f>
        <v>1484989.48</v>
      </c>
      <c r="F115" s="4">
        <f t="shared" ref="F115:G115" si="0">SUM(F113:F114)</f>
        <v>1484989.48</v>
      </c>
      <c r="G115" s="76">
        <f t="shared" si="0"/>
        <v>0</v>
      </c>
      <c r="H115" s="74"/>
      <c r="I115" s="74"/>
      <c r="J115" s="75"/>
    </row>
    <row r="116" spans="1:10" s="10" customFormat="1" ht="33" customHeight="1" x14ac:dyDescent="0.3">
      <c r="A116" s="11" t="s">
        <v>4</v>
      </c>
      <c r="B116" s="71"/>
      <c r="C116" s="101" t="s">
        <v>125</v>
      </c>
      <c r="D116" s="102"/>
      <c r="E116" s="5">
        <f>F116+G116</f>
        <v>606629</v>
      </c>
      <c r="F116" s="5">
        <f>734915-128286</f>
        <v>606629</v>
      </c>
      <c r="G116" s="76"/>
      <c r="H116" s="74"/>
      <c r="I116" s="74"/>
      <c r="J116" s="75"/>
    </row>
    <row r="117" spans="1:10" s="10" customFormat="1" ht="33" customHeight="1" x14ac:dyDescent="0.3">
      <c r="A117" s="11" t="s">
        <v>34</v>
      </c>
      <c r="B117" s="71"/>
      <c r="C117" s="97" t="s">
        <v>158</v>
      </c>
      <c r="D117" s="97"/>
      <c r="E117" s="5">
        <f t="shared" ref="E117:E119" si="1">F117+G117</f>
        <v>762829.21</v>
      </c>
      <c r="F117" s="5">
        <f>790565-27735.79</f>
        <v>762829.21</v>
      </c>
      <c r="G117" s="76"/>
      <c r="H117" s="74"/>
      <c r="I117" s="74"/>
      <c r="J117" s="75"/>
    </row>
    <row r="118" spans="1:10" s="10" customFormat="1" ht="33" customHeight="1" x14ac:dyDescent="0.3">
      <c r="A118" s="11" t="s">
        <v>35</v>
      </c>
      <c r="B118" s="71"/>
      <c r="C118" s="101" t="s">
        <v>159</v>
      </c>
      <c r="D118" s="102"/>
      <c r="E118" s="5">
        <f t="shared" si="1"/>
        <v>774507.45</v>
      </c>
      <c r="F118" s="5">
        <f>774605-97.55</f>
        <v>774507.45</v>
      </c>
      <c r="G118" s="76"/>
      <c r="H118" s="74"/>
      <c r="I118" s="74"/>
      <c r="J118" s="75"/>
    </row>
    <row r="119" spans="1:10" s="10" customFormat="1" ht="33" customHeight="1" x14ac:dyDescent="0.3">
      <c r="A119" s="11" t="s">
        <v>13</v>
      </c>
      <c r="B119" s="71"/>
      <c r="C119" s="97" t="s">
        <v>136</v>
      </c>
      <c r="D119" s="97"/>
      <c r="E119" s="5">
        <f t="shared" si="1"/>
        <v>813590.71</v>
      </c>
      <c r="F119" s="5">
        <f>841162.2-27571.49</f>
        <v>813590.71</v>
      </c>
      <c r="G119" s="76"/>
      <c r="H119" s="74"/>
      <c r="I119" s="74"/>
      <c r="J119" s="75"/>
    </row>
    <row r="120" spans="1:10" s="10" customFormat="1" ht="33" customHeight="1" x14ac:dyDescent="0.3">
      <c r="A120" s="129" t="s">
        <v>177</v>
      </c>
      <c r="B120" s="129"/>
      <c r="C120" s="129"/>
      <c r="D120" s="129"/>
      <c r="E120" s="4">
        <f>SUM(E116:E119)</f>
        <v>2957556.37</v>
      </c>
      <c r="F120" s="4">
        <f t="shared" ref="F120:G120" si="2">SUM(F116:F119)</f>
        <v>2957556.37</v>
      </c>
      <c r="G120" s="76">
        <f t="shared" si="2"/>
        <v>0</v>
      </c>
      <c r="H120" s="74"/>
      <c r="I120" s="74"/>
      <c r="J120" s="75"/>
    </row>
    <row r="121" spans="1:10" ht="41.25" customHeight="1" x14ac:dyDescent="0.3">
      <c r="A121" s="100" t="s">
        <v>187</v>
      </c>
      <c r="B121" s="147">
        <v>9310</v>
      </c>
      <c r="C121" s="100" t="s">
        <v>192</v>
      </c>
      <c r="D121" s="100"/>
      <c r="E121" s="158">
        <f>E137+E157+E123</f>
        <v>71222730</v>
      </c>
      <c r="F121" s="65" t="s">
        <v>63</v>
      </c>
      <c r="G121" s="65" t="s">
        <v>64</v>
      </c>
      <c r="H121" s="125"/>
      <c r="I121" s="126"/>
      <c r="J121" s="127"/>
    </row>
    <row r="122" spans="1:10" ht="37.5" customHeight="1" x14ac:dyDescent="0.3">
      <c r="A122" s="100"/>
      <c r="B122" s="147"/>
      <c r="C122" s="100"/>
      <c r="D122" s="100"/>
      <c r="E122" s="158"/>
      <c r="F122" s="4">
        <f>F137+F157+F123</f>
        <v>55170352</v>
      </c>
      <c r="G122" s="4">
        <f>G137+G157+G123</f>
        <v>16052378</v>
      </c>
      <c r="H122" s="125"/>
      <c r="I122" s="126"/>
      <c r="J122" s="127"/>
    </row>
    <row r="123" spans="1:10" s="10" customFormat="1" ht="33" customHeight="1" x14ac:dyDescent="0.3">
      <c r="A123" s="64" t="s">
        <v>0</v>
      </c>
      <c r="B123" s="50"/>
      <c r="C123" s="100" t="s">
        <v>1</v>
      </c>
      <c r="D123" s="100"/>
      <c r="E123" s="4">
        <f>F123</f>
        <v>9719411</v>
      </c>
      <c r="F123" s="4">
        <f>20455736-1125178-9611147</f>
        <v>9719411</v>
      </c>
      <c r="G123" s="5"/>
      <c r="H123" s="125"/>
      <c r="I123" s="126"/>
      <c r="J123" s="127"/>
    </row>
    <row r="124" spans="1:10" ht="33" customHeight="1" x14ac:dyDescent="0.3">
      <c r="A124" s="11" t="s">
        <v>87</v>
      </c>
      <c r="B124" s="71"/>
      <c r="C124" s="97" t="s">
        <v>88</v>
      </c>
      <c r="D124" s="97"/>
      <c r="E124" s="5">
        <f t="shared" ref="E124:E156" si="3">F124+G124</f>
        <v>1124447</v>
      </c>
      <c r="F124" s="5">
        <f>1237696-113249</f>
        <v>1124447</v>
      </c>
      <c r="G124" s="5"/>
      <c r="H124" s="125"/>
      <c r="I124" s="126"/>
      <c r="J124" s="127"/>
    </row>
    <row r="125" spans="1:10" ht="33" customHeight="1" x14ac:dyDescent="0.3">
      <c r="A125" s="11" t="s">
        <v>91</v>
      </c>
      <c r="B125" s="71"/>
      <c r="C125" s="97" t="s">
        <v>92</v>
      </c>
      <c r="D125" s="97"/>
      <c r="E125" s="5">
        <f t="shared" si="3"/>
        <v>21060324</v>
      </c>
      <c r="F125" s="5">
        <f>7088620-648608</f>
        <v>6440012</v>
      </c>
      <c r="G125" s="5">
        <f>16092804-1472492</f>
        <v>14620312</v>
      </c>
      <c r="H125" s="125"/>
      <c r="I125" s="126"/>
      <c r="J125" s="127"/>
    </row>
    <row r="126" spans="1:10" ht="33" customHeight="1" x14ac:dyDescent="0.3">
      <c r="A126" s="11" t="s">
        <v>81</v>
      </c>
      <c r="B126" s="71"/>
      <c r="C126" s="97" t="s">
        <v>290</v>
      </c>
      <c r="D126" s="97"/>
      <c r="E126" s="5">
        <f t="shared" si="3"/>
        <v>4499642</v>
      </c>
      <c r="F126" s="5">
        <f>4500711-411815</f>
        <v>4088896</v>
      </c>
      <c r="G126" s="5">
        <f>452114-41368</f>
        <v>410746</v>
      </c>
      <c r="H126" s="125"/>
      <c r="I126" s="126"/>
      <c r="J126" s="127"/>
    </row>
    <row r="127" spans="1:10" ht="33" customHeight="1" x14ac:dyDescent="0.3">
      <c r="A127" s="11" t="s">
        <v>93</v>
      </c>
      <c r="B127" s="71"/>
      <c r="C127" s="97" t="s">
        <v>94</v>
      </c>
      <c r="D127" s="97"/>
      <c r="E127" s="5">
        <f t="shared" si="3"/>
        <v>1108601</v>
      </c>
      <c r="F127" s="5">
        <f>787624+320977</f>
        <v>1108601</v>
      </c>
      <c r="G127" s="5"/>
      <c r="H127" s="125"/>
      <c r="I127" s="126"/>
      <c r="J127" s="127"/>
    </row>
    <row r="128" spans="1:10" ht="33" customHeight="1" x14ac:dyDescent="0.3">
      <c r="A128" s="11" t="s">
        <v>95</v>
      </c>
      <c r="B128" s="71"/>
      <c r="C128" s="97" t="s">
        <v>96</v>
      </c>
      <c r="D128" s="97"/>
      <c r="E128" s="5">
        <f t="shared" si="3"/>
        <v>4343548</v>
      </c>
      <c r="F128" s="5">
        <f>3656828-334600</f>
        <v>3322228</v>
      </c>
      <c r="G128" s="5">
        <f>1124182-102862</f>
        <v>1021320</v>
      </c>
      <c r="H128" s="125"/>
      <c r="I128" s="126"/>
      <c r="J128" s="127"/>
    </row>
    <row r="129" spans="1:10" ht="33" customHeight="1" x14ac:dyDescent="0.3">
      <c r="A129" s="11" t="s">
        <v>60</v>
      </c>
      <c r="B129" s="71"/>
      <c r="C129" s="97" t="s">
        <v>122</v>
      </c>
      <c r="D129" s="97"/>
      <c r="E129" s="5">
        <f t="shared" si="3"/>
        <v>1840003</v>
      </c>
      <c r="F129" s="5">
        <f>2025320-185317</f>
        <v>1840003</v>
      </c>
      <c r="G129" s="5"/>
      <c r="H129" s="125"/>
      <c r="I129" s="126"/>
      <c r="J129" s="127"/>
    </row>
    <row r="130" spans="1:10" ht="33" customHeight="1" x14ac:dyDescent="0.3">
      <c r="A130" s="11" t="s">
        <v>100</v>
      </c>
      <c r="B130" s="71"/>
      <c r="C130" s="97" t="s">
        <v>101</v>
      </c>
      <c r="D130" s="97"/>
      <c r="E130" s="5">
        <f t="shared" si="3"/>
        <v>3066672</v>
      </c>
      <c r="F130" s="5">
        <f>3375534-308862</f>
        <v>3066672</v>
      </c>
      <c r="G130" s="5"/>
      <c r="H130" s="125"/>
      <c r="I130" s="126"/>
      <c r="J130" s="127"/>
    </row>
    <row r="131" spans="1:10" ht="33" customHeight="1" x14ac:dyDescent="0.3">
      <c r="A131" s="11" t="s">
        <v>102</v>
      </c>
      <c r="B131" s="71"/>
      <c r="C131" s="97" t="s">
        <v>103</v>
      </c>
      <c r="D131" s="97"/>
      <c r="E131" s="5">
        <f t="shared" si="3"/>
        <v>974996</v>
      </c>
      <c r="F131" s="5">
        <f>900142+74854</f>
        <v>974996</v>
      </c>
      <c r="G131" s="5"/>
      <c r="H131" s="125"/>
      <c r="I131" s="126"/>
      <c r="J131" s="127"/>
    </row>
    <row r="132" spans="1:10" ht="33" customHeight="1" x14ac:dyDescent="0.3">
      <c r="A132" s="11" t="s">
        <v>106</v>
      </c>
      <c r="B132" s="71"/>
      <c r="C132" s="97" t="s">
        <v>107</v>
      </c>
      <c r="D132" s="97"/>
      <c r="E132" s="5">
        <f t="shared" si="3"/>
        <v>1022224</v>
      </c>
      <c r="F132" s="5">
        <f>1125178-102954</f>
        <v>1022224</v>
      </c>
      <c r="G132" s="5"/>
      <c r="H132" s="125"/>
      <c r="I132" s="126"/>
      <c r="J132" s="127"/>
    </row>
    <row r="133" spans="1:10" ht="33" customHeight="1" x14ac:dyDescent="0.3">
      <c r="A133" s="11" t="s">
        <v>108</v>
      </c>
      <c r="B133" s="71"/>
      <c r="C133" s="97" t="s">
        <v>109</v>
      </c>
      <c r="D133" s="97"/>
      <c r="E133" s="5">
        <f t="shared" si="3"/>
        <v>1431113</v>
      </c>
      <c r="F133" s="5">
        <f>1575249-144136</f>
        <v>1431113</v>
      </c>
      <c r="G133" s="5"/>
      <c r="H133" s="125"/>
      <c r="I133" s="126"/>
      <c r="J133" s="127"/>
    </row>
    <row r="134" spans="1:10" ht="33" customHeight="1" x14ac:dyDescent="0.3">
      <c r="A134" s="11" t="s">
        <v>61</v>
      </c>
      <c r="B134" s="71"/>
      <c r="C134" s="97" t="s">
        <v>123</v>
      </c>
      <c r="D134" s="97"/>
      <c r="E134" s="5">
        <f t="shared" si="3"/>
        <v>1124447</v>
      </c>
      <c r="F134" s="5">
        <f>1237696-113249</f>
        <v>1124447</v>
      </c>
      <c r="G134" s="5"/>
      <c r="H134" s="125"/>
      <c r="I134" s="126"/>
      <c r="J134" s="127"/>
    </row>
    <row r="135" spans="1:10" ht="33" customHeight="1" x14ac:dyDescent="0.3">
      <c r="A135" s="11" t="s">
        <v>116</v>
      </c>
      <c r="B135" s="71"/>
      <c r="C135" s="97" t="s">
        <v>117</v>
      </c>
      <c r="D135" s="97"/>
      <c r="E135" s="5">
        <f t="shared" si="3"/>
        <v>1226668</v>
      </c>
      <c r="F135" s="5">
        <f>1350213-123545</f>
        <v>1226668</v>
      </c>
      <c r="G135" s="5"/>
      <c r="H135" s="125"/>
      <c r="I135" s="126"/>
      <c r="J135" s="127"/>
    </row>
    <row r="136" spans="1:10" ht="33" customHeight="1" x14ac:dyDescent="0.3">
      <c r="A136" s="11" t="s">
        <v>120</v>
      </c>
      <c r="B136" s="71"/>
      <c r="C136" s="97" t="s">
        <v>121</v>
      </c>
      <c r="D136" s="97"/>
      <c r="E136" s="5">
        <f t="shared" si="3"/>
        <v>817780</v>
      </c>
      <c r="F136" s="5">
        <f>900142-82362</f>
        <v>817780</v>
      </c>
      <c r="G136" s="5"/>
      <c r="H136" s="125"/>
      <c r="I136" s="126"/>
      <c r="J136" s="127"/>
    </row>
    <row r="137" spans="1:10" s="10" customFormat="1" ht="33" customHeight="1" x14ac:dyDescent="0.3">
      <c r="A137" s="129" t="s">
        <v>206</v>
      </c>
      <c r="B137" s="129"/>
      <c r="C137" s="129"/>
      <c r="D137" s="129"/>
      <c r="E137" s="4">
        <f t="shared" si="3"/>
        <v>43640465</v>
      </c>
      <c r="F137" s="4">
        <f>SUM(F124:F136)</f>
        <v>27588087</v>
      </c>
      <c r="G137" s="4">
        <f>SUM(G124:G136)</f>
        <v>16052378</v>
      </c>
      <c r="H137" s="125"/>
      <c r="I137" s="126"/>
      <c r="J137" s="127"/>
    </row>
    <row r="138" spans="1:10" ht="33" customHeight="1" x14ac:dyDescent="0.3">
      <c r="A138" s="11" t="s">
        <v>3</v>
      </c>
      <c r="B138" s="71"/>
      <c r="C138" s="97" t="s">
        <v>124</v>
      </c>
      <c r="D138" s="97"/>
      <c r="E138" s="5">
        <f t="shared" si="3"/>
        <v>817780</v>
      </c>
      <c r="F138" s="67">
        <f>900142-82362</f>
        <v>817780</v>
      </c>
      <c r="G138" s="67"/>
      <c r="H138" s="125"/>
      <c r="I138" s="126"/>
      <c r="J138" s="127"/>
    </row>
    <row r="139" spans="1:10" ht="33" customHeight="1" x14ac:dyDescent="0.3">
      <c r="A139" s="11" t="s">
        <v>47</v>
      </c>
      <c r="B139" s="71"/>
      <c r="C139" s="97" t="s">
        <v>129</v>
      </c>
      <c r="D139" s="97"/>
      <c r="E139" s="5">
        <f t="shared" si="3"/>
        <v>562223</v>
      </c>
      <c r="F139" s="67">
        <f>618848-56625</f>
        <v>562223</v>
      </c>
      <c r="G139" s="67"/>
      <c r="H139" s="125"/>
      <c r="I139" s="126"/>
      <c r="J139" s="127"/>
    </row>
    <row r="140" spans="1:10" ht="33" customHeight="1" x14ac:dyDescent="0.3">
      <c r="A140" s="11" t="s">
        <v>17</v>
      </c>
      <c r="B140" s="71"/>
      <c r="C140" s="97" t="s">
        <v>140</v>
      </c>
      <c r="D140" s="97"/>
      <c r="E140" s="5">
        <f t="shared" si="3"/>
        <v>613334</v>
      </c>
      <c r="F140" s="67">
        <f>675107-61773</f>
        <v>613334</v>
      </c>
      <c r="G140" s="67"/>
      <c r="H140" s="125"/>
      <c r="I140" s="126"/>
      <c r="J140" s="127"/>
    </row>
    <row r="141" spans="1:10" ht="33" customHeight="1" x14ac:dyDescent="0.3">
      <c r="A141" s="11" t="s">
        <v>57</v>
      </c>
      <c r="B141" s="71"/>
      <c r="C141" s="97" t="s">
        <v>210</v>
      </c>
      <c r="D141" s="97"/>
      <c r="E141" s="5">
        <f t="shared" si="3"/>
        <v>817780</v>
      </c>
      <c r="F141" s="67">
        <f>900142-82362</f>
        <v>817780</v>
      </c>
      <c r="G141" s="67"/>
      <c r="H141" s="125"/>
      <c r="I141" s="126"/>
      <c r="J141" s="127"/>
    </row>
    <row r="142" spans="1:10" ht="33" customHeight="1" x14ac:dyDescent="0.3">
      <c r="A142" s="11" t="s">
        <v>89</v>
      </c>
      <c r="B142" s="71"/>
      <c r="C142" s="97" t="s">
        <v>90</v>
      </c>
      <c r="D142" s="97"/>
      <c r="E142" s="5">
        <f t="shared" si="3"/>
        <v>715556</v>
      </c>
      <c r="F142" s="67">
        <f>787624-72068</f>
        <v>715556</v>
      </c>
      <c r="G142" s="67"/>
      <c r="H142" s="125"/>
      <c r="I142" s="126"/>
      <c r="J142" s="127"/>
    </row>
    <row r="143" spans="1:10" ht="33" customHeight="1" x14ac:dyDescent="0.3">
      <c r="A143" s="11" t="s">
        <v>18</v>
      </c>
      <c r="B143" s="71"/>
      <c r="C143" s="97" t="s">
        <v>142</v>
      </c>
      <c r="D143" s="97"/>
      <c r="E143" s="5">
        <f t="shared" si="3"/>
        <v>920002</v>
      </c>
      <c r="F143" s="67">
        <f>1012660-92658</f>
        <v>920002</v>
      </c>
      <c r="G143" s="67"/>
      <c r="H143" s="125"/>
      <c r="I143" s="126"/>
      <c r="J143" s="127"/>
    </row>
    <row r="144" spans="1:10" ht="33" customHeight="1" x14ac:dyDescent="0.3">
      <c r="A144" s="11" t="s">
        <v>97</v>
      </c>
      <c r="B144" s="71"/>
      <c r="C144" s="97" t="s">
        <v>211</v>
      </c>
      <c r="D144" s="97"/>
      <c r="E144" s="5">
        <f t="shared" si="3"/>
        <v>511112</v>
      </c>
      <c r="F144" s="67">
        <f>562589-51477</f>
        <v>511112</v>
      </c>
      <c r="G144" s="67"/>
      <c r="H144" s="125"/>
      <c r="I144" s="126"/>
      <c r="J144" s="127"/>
    </row>
    <row r="145" spans="1:10" ht="33" customHeight="1" x14ac:dyDescent="0.3">
      <c r="A145" s="11" t="s">
        <v>71</v>
      </c>
      <c r="B145" s="71"/>
      <c r="C145" s="97" t="s">
        <v>72</v>
      </c>
      <c r="D145" s="97"/>
      <c r="E145" s="5">
        <f t="shared" si="3"/>
        <v>1022224</v>
      </c>
      <c r="F145" s="67">
        <f>1125178-102954</f>
        <v>1022224</v>
      </c>
      <c r="G145" s="67"/>
      <c r="H145" s="125"/>
      <c r="I145" s="126"/>
      <c r="J145" s="127"/>
    </row>
    <row r="146" spans="1:10" ht="33" customHeight="1" x14ac:dyDescent="0.3">
      <c r="A146" s="11" t="s">
        <v>29</v>
      </c>
      <c r="B146" s="71"/>
      <c r="C146" s="97" t="s">
        <v>155</v>
      </c>
      <c r="D146" s="97"/>
      <c r="E146" s="5">
        <f t="shared" si="3"/>
        <v>1022224</v>
      </c>
      <c r="F146" s="67">
        <f>1125178-102954</f>
        <v>1022224</v>
      </c>
      <c r="G146" s="67"/>
      <c r="H146" s="125"/>
      <c r="I146" s="126"/>
      <c r="J146" s="127"/>
    </row>
    <row r="147" spans="1:10" ht="33" customHeight="1" x14ac:dyDescent="0.3">
      <c r="A147" s="11" t="s">
        <v>24</v>
      </c>
      <c r="B147" s="71"/>
      <c r="C147" s="97" t="s">
        <v>152</v>
      </c>
      <c r="D147" s="97"/>
      <c r="E147" s="5">
        <f t="shared" si="3"/>
        <v>204445</v>
      </c>
      <c r="F147" s="67">
        <f>225036-20591</f>
        <v>204445</v>
      </c>
      <c r="G147" s="67"/>
      <c r="H147" s="125"/>
      <c r="I147" s="126"/>
      <c r="J147" s="127"/>
    </row>
    <row r="148" spans="1:10" ht="33" customHeight="1" x14ac:dyDescent="0.3">
      <c r="A148" s="11" t="s">
        <v>34</v>
      </c>
      <c r="B148" s="71"/>
      <c r="C148" s="97" t="s">
        <v>158</v>
      </c>
      <c r="D148" s="97"/>
      <c r="E148" s="5">
        <f t="shared" si="3"/>
        <v>1533336</v>
      </c>
      <c r="F148" s="67">
        <f>1687767-154431</f>
        <v>1533336</v>
      </c>
      <c r="G148" s="67"/>
      <c r="H148" s="125"/>
      <c r="I148" s="126"/>
      <c r="J148" s="127"/>
    </row>
    <row r="149" spans="1:10" ht="33" customHeight="1" x14ac:dyDescent="0.3">
      <c r="A149" s="6" t="s">
        <v>110</v>
      </c>
      <c r="B149" s="68"/>
      <c r="C149" s="101" t="s">
        <v>111</v>
      </c>
      <c r="D149" s="102"/>
      <c r="E149" s="5">
        <f t="shared" si="3"/>
        <v>1022224</v>
      </c>
      <c r="F149" s="67">
        <f>1125178-102954</f>
        <v>1022224</v>
      </c>
      <c r="G149" s="67"/>
      <c r="H149" s="56"/>
      <c r="I149" s="57"/>
      <c r="J149" s="58"/>
    </row>
    <row r="150" spans="1:10" ht="33" customHeight="1" x14ac:dyDescent="0.3">
      <c r="A150" s="11" t="s">
        <v>77</v>
      </c>
      <c r="B150" s="71"/>
      <c r="C150" s="97" t="s">
        <v>78</v>
      </c>
      <c r="D150" s="97"/>
      <c r="E150" s="5">
        <f t="shared" si="3"/>
        <v>699713</v>
      </c>
      <c r="F150" s="67">
        <f>337553+362160</f>
        <v>699713</v>
      </c>
      <c r="G150" s="67"/>
      <c r="H150" s="125"/>
      <c r="I150" s="126"/>
      <c r="J150" s="127"/>
    </row>
    <row r="151" spans="1:10" ht="33" customHeight="1" x14ac:dyDescent="0.3">
      <c r="A151" s="11" t="s">
        <v>46</v>
      </c>
      <c r="B151" s="71"/>
      <c r="C151" s="97" t="s">
        <v>144</v>
      </c>
      <c r="D151" s="97"/>
      <c r="E151" s="5">
        <f t="shared" si="3"/>
        <v>1042668</v>
      </c>
      <c r="F151" s="67">
        <f>1147681-105013</f>
        <v>1042668</v>
      </c>
      <c r="G151" s="67"/>
      <c r="H151" s="125"/>
      <c r="I151" s="126"/>
      <c r="J151" s="127"/>
    </row>
    <row r="152" spans="1:10" ht="33" customHeight="1" x14ac:dyDescent="0.3">
      <c r="A152" s="11" t="s">
        <v>112</v>
      </c>
      <c r="B152" s="71"/>
      <c r="C152" s="97" t="s">
        <v>113</v>
      </c>
      <c r="D152" s="97"/>
      <c r="E152" s="5">
        <f t="shared" si="3"/>
        <v>1175557</v>
      </c>
      <c r="F152" s="67">
        <f>1293955-118398</f>
        <v>1175557</v>
      </c>
      <c r="G152" s="67"/>
      <c r="H152" s="125"/>
      <c r="I152" s="126"/>
      <c r="J152" s="127"/>
    </row>
    <row r="153" spans="1:10" ht="33" customHeight="1" x14ac:dyDescent="0.3">
      <c r="A153" s="11" t="s">
        <v>114</v>
      </c>
      <c r="B153" s="71"/>
      <c r="C153" s="97" t="s">
        <v>115</v>
      </c>
      <c r="D153" s="97"/>
      <c r="E153" s="5">
        <f t="shared" si="3"/>
        <v>1124447</v>
      </c>
      <c r="F153" s="67">
        <f>1237696-113249</f>
        <v>1124447</v>
      </c>
      <c r="G153" s="67"/>
      <c r="H153" s="125"/>
      <c r="I153" s="126"/>
      <c r="J153" s="127"/>
    </row>
    <row r="154" spans="1:10" ht="33" customHeight="1" x14ac:dyDescent="0.3">
      <c r="A154" s="11" t="s">
        <v>13</v>
      </c>
      <c r="B154" s="71"/>
      <c r="C154" s="97" t="s">
        <v>136</v>
      </c>
      <c r="D154" s="97"/>
      <c r="E154" s="5">
        <f t="shared" si="3"/>
        <v>1502670</v>
      </c>
      <c r="F154" s="67">
        <f>1654011-151341</f>
        <v>1502670</v>
      </c>
      <c r="G154" s="67"/>
      <c r="H154" s="125"/>
      <c r="I154" s="126"/>
      <c r="J154" s="127"/>
    </row>
    <row r="155" spans="1:10" ht="33" customHeight="1" x14ac:dyDescent="0.3">
      <c r="A155" s="11" t="s">
        <v>41</v>
      </c>
      <c r="B155" s="71"/>
      <c r="C155" s="97" t="s">
        <v>147</v>
      </c>
      <c r="D155" s="97"/>
      <c r="E155" s="5">
        <f t="shared" si="3"/>
        <v>1328891</v>
      </c>
      <c r="F155" s="67">
        <f>1462731-133840</f>
        <v>1328891</v>
      </c>
      <c r="G155" s="67"/>
      <c r="H155" s="125"/>
      <c r="I155" s="126"/>
      <c r="J155" s="127"/>
    </row>
    <row r="156" spans="1:10" ht="33" customHeight="1" x14ac:dyDescent="0.3">
      <c r="A156" s="11" t="s">
        <v>20</v>
      </c>
      <c r="B156" s="71"/>
      <c r="C156" s="97" t="s">
        <v>148</v>
      </c>
      <c r="D156" s="97"/>
      <c r="E156" s="5">
        <f t="shared" si="3"/>
        <v>1226668</v>
      </c>
      <c r="F156" s="67">
        <f>1350213-123545</f>
        <v>1226668</v>
      </c>
      <c r="G156" s="67"/>
      <c r="H156" s="125"/>
      <c r="I156" s="126"/>
      <c r="J156" s="127"/>
    </row>
    <row r="157" spans="1:10" s="10" customFormat="1" ht="33" customHeight="1" x14ac:dyDescent="0.3">
      <c r="A157" s="103" t="s">
        <v>177</v>
      </c>
      <c r="B157" s="104"/>
      <c r="C157" s="104"/>
      <c r="D157" s="105"/>
      <c r="E157" s="9">
        <f>SUM(E138:E156)</f>
        <v>17862854</v>
      </c>
      <c r="F157" s="9">
        <f>SUM(F138:F156)</f>
        <v>17862854</v>
      </c>
      <c r="G157" s="9">
        <f>SUM(G138:G156)</f>
        <v>0</v>
      </c>
      <c r="H157" s="125"/>
      <c r="I157" s="126"/>
      <c r="J157" s="127"/>
    </row>
    <row r="158" spans="1:10" s="10" customFormat="1" ht="36" customHeight="1" x14ac:dyDescent="0.3">
      <c r="A158" s="175" t="s">
        <v>249</v>
      </c>
      <c r="B158" s="178" t="s">
        <v>250</v>
      </c>
      <c r="C158" s="151" t="s">
        <v>251</v>
      </c>
      <c r="D158" s="152"/>
      <c r="E158" s="148">
        <f>F160+G160+H160</f>
        <v>5057876.68</v>
      </c>
      <c r="F158" s="144" t="s">
        <v>255</v>
      </c>
      <c r="G158" s="145"/>
      <c r="H158" s="12"/>
      <c r="I158" s="12"/>
      <c r="J158" s="13"/>
    </row>
    <row r="159" spans="1:10" s="10" customFormat="1" ht="115.5" customHeight="1" x14ac:dyDescent="0.3">
      <c r="A159" s="176"/>
      <c r="B159" s="179"/>
      <c r="C159" s="181"/>
      <c r="D159" s="182"/>
      <c r="E159" s="149"/>
      <c r="F159" s="59" t="s">
        <v>253</v>
      </c>
      <c r="G159" s="65" t="s">
        <v>252</v>
      </c>
      <c r="H159" s="144"/>
      <c r="I159" s="164"/>
      <c r="J159" s="145"/>
    </row>
    <row r="160" spans="1:10" s="10" customFormat="1" ht="26.25" customHeight="1" x14ac:dyDescent="0.3">
      <c r="A160" s="177"/>
      <c r="B160" s="180"/>
      <c r="C160" s="153"/>
      <c r="D160" s="154"/>
      <c r="E160" s="150"/>
      <c r="F160" s="14">
        <f>F163+F168</f>
        <v>4966900</v>
      </c>
      <c r="G160" s="15">
        <f>G161+G163+G168</f>
        <v>90976.68</v>
      </c>
      <c r="H160" s="130">
        <f>H161</f>
        <v>0</v>
      </c>
      <c r="I160" s="131"/>
      <c r="J160" s="132"/>
    </row>
    <row r="161" spans="1:10" s="10" customFormat="1" ht="33" customHeight="1" x14ac:dyDescent="0.3">
      <c r="A161" s="64" t="s">
        <v>0</v>
      </c>
      <c r="B161" s="50"/>
      <c r="C161" s="100" t="s">
        <v>1</v>
      </c>
      <c r="D161" s="100"/>
      <c r="E161" s="61">
        <f>SUM(F161:J161)</f>
        <v>0</v>
      </c>
      <c r="F161" s="9">
        <f>4966900-4966900</f>
        <v>0</v>
      </c>
      <c r="G161" s="9">
        <f>90976.68-90976.68</f>
        <v>0</v>
      </c>
      <c r="H161" s="183">
        <f>84322.5-84322.5</f>
        <v>0</v>
      </c>
      <c r="I161" s="184"/>
      <c r="J161" s="185"/>
    </row>
    <row r="162" spans="1:10" s="10" customFormat="1" ht="33" customHeight="1" x14ac:dyDescent="0.3">
      <c r="A162" s="11" t="s">
        <v>91</v>
      </c>
      <c r="B162" s="71"/>
      <c r="C162" s="101" t="s">
        <v>92</v>
      </c>
      <c r="D162" s="102"/>
      <c r="E162" s="16">
        <f>SUM(F162:J162)</f>
        <v>90976.68</v>
      </c>
      <c r="F162" s="9"/>
      <c r="G162" s="67">
        <v>90976.68</v>
      </c>
      <c r="H162" s="73"/>
      <c r="I162" s="74"/>
      <c r="J162" s="75"/>
    </row>
    <row r="163" spans="1:10" s="10" customFormat="1" ht="33" customHeight="1" x14ac:dyDescent="0.3">
      <c r="A163" s="103" t="s">
        <v>206</v>
      </c>
      <c r="B163" s="104"/>
      <c r="C163" s="104"/>
      <c r="D163" s="105"/>
      <c r="E163" s="61">
        <f>SUM(E162)</f>
        <v>90976.68</v>
      </c>
      <c r="F163" s="9">
        <f>SUM(F162)</f>
        <v>0</v>
      </c>
      <c r="G163" s="9">
        <f>SUM(G162)</f>
        <v>90976.68</v>
      </c>
      <c r="H163" s="144">
        <f t="shared" ref="H163" si="4">SUM(H162)</f>
        <v>0</v>
      </c>
      <c r="I163" s="164"/>
      <c r="J163" s="145"/>
    </row>
    <row r="164" spans="1:10" s="10" customFormat="1" ht="33" customHeight="1" x14ac:dyDescent="0.3">
      <c r="A164" s="11" t="s">
        <v>18</v>
      </c>
      <c r="B164" s="71"/>
      <c r="C164" s="101" t="s">
        <v>142</v>
      </c>
      <c r="D164" s="102"/>
      <c r="E164" s="16">
        <f>SUM(F164:J164)</f>
        <v>1200000</v>
      </c>
      <c r="F164" s="67">
        <v>1200000</v>
      </c>
      <c r="G164" s="9"/>
      <c r="H164" s="59"/>
      <c r="I164" s="62"/>
      <c r="J164" s="60"/>
    </row>
    <row r="165" spans="1:10" s="10" customFormat="1" ht="33" customHeight="1" x14ac:dyDescent="0.3">
      <c r="A165" s="11" t="s">
        <v>51</v>
      </c>
      <c r="B165" s="71"/>
      <c r="C165" s="97" t="s">
        <v>170</v>
      </c>
      <c r="D165" s="97"/>
      <c r="E165" s="16">
        <f>SUM(F165:J165)</f>
        <v>1132900</v>
      </c>
      <c r="F165" s="67">
        <v>1132900</v>
      </c>
      <c r="G165" s="9"/>
      <c r="H165" s="59"/>
      <c r="I165" s="62"/>
      <c r="J165" s="60"/>
    </row>
    <row r="166" spans="1:10" s="10" customFormat="1" ht="33" customHeight="1" x14ac:dyDescent="0.3">
      <c r="A166" s="11" t="s">
        <v>44</v>
      </c>
      <c r="B166" s="71"/>
      <c r="C166" s="101" t="s">
        <v>146</v>
      </c>
      <c r="D166" s="102"/>
      <c r="E166" s="16">
        <f>SUM(F166:J166)</f>
        <v>1134000</v>
      </c>
      <c r="F166" s="67">
        <v>1134000</v>
      </c>
      <c r="G166" s="9"/>
      <c r="H166" s="59"/>
      <c r="I166" s="62"/>
      <c r="J166" s="60"/>
    </row>
    <row r="167" spans="1:10" s="10" customFormat="1" ht="33" customHeight="1" x14ac:dyDescent="0.3">
      <c r="A167" s="11" t="s">
        <v>14</v>
      </c>
      <c r="B167" s="71"/>
      <c r="C167" s="101" t="s">
        <v>137</v>
      </c>
      <c r="D167" s="102"/>
      <c r="E167" s="16">
        <f>SUM(F167:J167)</f>
        <v>1500000</v>
      </c>
      <c r="F167" s="67">
        <v>1500000</v>
      </c>
      <c r="G167" s="9"/>
      <c r="H167" s="59"/>
      <c r="I167" s="62"/>
      <c r="J167" s="60"/>
    </row>
    <row r="168" spans="1:10" s="10" customFormat="1" ht="33" customHeight="1" x14ac:dyDescent="0.3">
      <c r="A168" s="103" t="s">
        <v>177</v>
      </c>
      <c r="B168" s="104"/>
      <c r="C168" s="104"/>
      <c r="D168" s="105"/>
      <c r="E168" s="61">
        <f>SUM(E164:E167)</f>
        <v>4966900</v>
      </c>
      <c r="F168" s="61">
        <f t="shared" ref="F168:H168" si="5">SUM(F164:F167)</f>
        <v>4966900</v>
      </c>
      <c r="G168" s="16">
        <f t="shared" si="5"/>
        <v>0</v>
      </c>
      <c r="H168" s="138">
        <f t="shared" si="5"/>
        <v>0</v>
      </c>
      <c r="I168" s="155"/>
      <c r="J168" s="139"/>
    </row>
    <row r="169" spans="1:10" ht="37.5" customHeight="1" x14ac:dyDescent="0.3">
      <c r="A169" s="136" t="s">
        <v>194</v>
      </c>
      <c r="B169" s="186">
        <v>9330</v>
      </c>
      <c r="C169" s="151" t="s">
        <v>193</v>
      </c>
      <c r="D169" s="152"/>
      <c r="E169" s="148">
        <f>F170+G170</f>
        <v>29609800</v>
      </c>
      <c r="F169" s="72" t="s">
        <v>225</v>
      </c>
      <c r="G169" s="72" t="s">
        <v>226</v>
      </c>
      <c r="H169" s="14"/>
      <c r="I169" s="12"/>
      <c r="J169" s="13"/>
    </row>
    <row r="170" spans="1:10" ht="32.25" customHeight="1" x14ac:dyDescent="0.3">
      <c r="A170" s="137"/>
      <c r="B170" s="172"/>
      <c r="C170" s="153"/>
      <c r="D170" s="154"/>
      <c r="E170" s="150"/>
      <c r="F170" s="15">
        <f>F184+F240</f>
        <v>22256000</v>
      </c>
      <c r="G170" s="15">
        <f>G184+G240</f>
        <v>7353800</v>
      </c>
      <c r="H170" s="45"/>
      <c r="I170" s="45"/>
      <c r="J170" s="46"/>
    </row>
    <row r="171" spans="1:10" ht="33" customHeight="1" x14ac:dyDescent="0.3">
      <c r="A171" s="11" t="s">
        <v>87</v>
      </c>
      <c r="B171" s="71"/>
      <c r="C171" s="101" t="s">
        <v>88</v>
      </c>
      <c r="D171" s="102"/>
      <c r="E171" s="67">
        <f>F171+G171</f>
        <v>290474</v>
      </c>
      <c r="F171" s="47">
        <f>242592-24257</f>
        <v>218335</v>
      </c>
      <c r="G171" s="47">
        <f>80157-8018</f>
        <v>72139</v>
      </c>
      <c r="H171" s="17"/>
      <c r="I171" s="17"/>
      <c r="J171" s="18"/>
    </row>
    <row r="172" spans="1:10" ht="33" customHeight="1" x14ac:dyDescent="0.3">
      <c r="A172" s="11" t="s">
        <v>91</v>
      </c>
      <c r="B172" s="71"/>
      <c r="C172" s="101" t="s">
        <v>92</v>
      </c>
      <c r="D172" s="102"/>
      <c r="E172" s="67">
        <f t="shared" ref="E172:E183" si="6">F172+G172</f>
        <v>6709104</v>
      </c>
      <c r="F172" s="47">
        <f>5603106-560271</f>
        <v>5042835</v>
      </c>
      <c r="G172" s="47">
        <f>1851358-185089</f>
        <v>1666269</v>
      </c>
      <c r="H172" s="17"/>
      <c r="I172" s="17"/>
      <c r="J172" s="18"/>
    </row>
    <row r="173" spans="1:10" ht="33" customHeight="1" x14ac:dyDescent="0.3">
      <c r="A173" s="11" t="s">
        <v>81</v>
      </c>
      <c r="B173" s="71"/>
      <c r="C173" s="101" t="s">
        <v>290</v>
      </c>
      <c r="D173" s="102"/>
      <c r="E173" s="67">
        <f t="shared" si="6"/>
        <v>3326422</v>
      </c>
      <c r="F173" s="47">
        <f>2778077-277797</f>
        <v>2500280</v>
      </c>
      <c r="G173" s="47">
        <f>917922-91780</f>
        <v>826142</v>
      </c>
      <c r="H173" s="17"/>
      <c r="I173" s="17"/>
      <c r="J173" s="18"/>
    </row>
    <row r="174" spans="1:10" ht="33" customHeight="1" x14ac:dyDescent="0.3">
      <c r="A174" s="11" t="s">
        <v>93</v>
      </c>
      <c r="B174" s="71"/>
      <c r="C174" s="101" t="s">
        <v>94</v>
      </c>
      <c r="D174" s="102"/>
      <c r="E174" s="67">
        <f t="shared" si="6"/>
        <v>421662</v>
      </c>
      <c r="F174" s="47">
        <f>352151-35213</f>
        <v>316938</v>
      </c>
      <c r="G174" s="47">
        <f>116356-11632</f>
        <v>104724</v>
      </c>
      <c r="H174" s="17"/>
      <c r="I174" s="17"/>
      <c r="J174" s="18"/>
    </row>
    <row r="175" spans="1:10" ht="33" customHeight="1" x14ac:dyDescent="0.3">
      <c r="A175" s="11" t="s">
        <v>95</v>
      </c>
      <c r="B175" s="71"/>
      <c r="C175" s="101" t="s">
        <v>96</v>
      </c>
      <c r="D175" s="102"/>
      <c r="E175" s="67">
        <f t="shared" si="6"/>
        <v>3570037</v>
      </c>
      <c r="F175" s="47">
        <f>2981542-298147</f>
        <v>2683395</v>
      </c>
      <c r="G175" s="47">
        <f>985150-98508</f>
        <v>886642</v>
      </c>
      <c r="H175" s="17"/>
      <c r="I175" s="17"/>
      <c r="J175" s="18"/>
    </row>
    <row r="176" spans="1:10" ht="33" customHeight="1" x14ac:dyDescent="0.3">
      <c r="A176" s="11" t="s">
        <v>60</v>
      </c>
      <c r="B176" s="71"/>
      <c r="C176" s="101" t="s">
        <v>122</v>
      </c>
      <c r="D176" s="102"/>
      <c r="E176" s="67">
        <f t="shared" si="6"/>
        <v>908904</v>
      </c>
      <c r="F176" s="47">
        <f>759080-75909</f>
        <v>683171</v>
      </c>
      <c r="G176" s="47">
        <f>250813-25080</f>
        <v>225733</v>
      </c>
      <c r="H176" s="17"/>
      <c r="I176" s="17"/>
      <c r="J176" s="18"/>
    </row>
    <row r="177" spans="1:10" ht="33" customHeight="1" x14ac:dyDescent="0.3">
      <c r="A177" s="11" t="s">
        <v>100</v>
      </c>
      <c r="B177" s="71"/>
      <c r="C177" s="101" t="s">
        <v>101</v>
      </c>
      <c r="D177" s="102"/>
      <c r="E177" s="67">
        <f t="shared" si="6"/>
        <v>843317</v>
      </c>
      <c r="F177" s="47">
        <f>704301-70428</f>
        <v>633873</v>
      </c>
      <c r="G177" s="47">
        <f>232713-23269</f>
        <v>209444</v>
      </c>
      <c r="H177" s="17"/>
      <c r="I177" s="17"/>
      <c r="J177" s="18"/>
    </row>
    <row r="178" spans="1:10" ht="33" customHeight="1" x14ac:dyDescent="0.3">
      <c r="A178" s="11" t="s">
        <v>102</v>
      </c>
      <c r="B178" s="71"/>
      <c r="C178" s="101" t="s">
        <v>103</v>
      </c>
      <c r="D178" s="102"/>
      <c r="E178" s="67">
        <f t="shared" si="6"/>
        <v>749619</v>
      </c>
      <c r="F178" s="47">
        <f>626045-62601</f>
        <v>563444</v>
      </c>
      <c r="G178" s="47">
        <f>206856-20681</f>
        <v>186175</v>
      </c>
      <c r="H178" s="17"/>
      <c r="I178" s="17"/>
      <c r="J178" s="18"/>
    </row>
    <row r="179" spans="1:10" ht="33" customHeight="1" x14ac:dyDescent="0.3">
      <c r="A179" s="11" t="s">
        <v>106</v>
      </c>
      <c r="B179" s="71"/>
      <c r="C179" s="101" t="s">
        <v>107</v>
      </c>
      <c r="D179" s="102"/>
      <c r="E179" s="67">
        <f t="shared" si="6"/>
        <v>2670506</v>
      </c>
      <c r="F179" s="47">
        <f>2230288-223023</f>
        <v>2007265</v>
      </c>
      <c r="G179" s="47">
        <f>736923-73682</f>
        <v>663241</v>
      </c>
      <c r="H179" s="17"/>
      <c r="I179" s="17"/>
      <c r="J179" s="18"/>
    </row>
    <row r="180" spans="1:10" ht="33" customHeight="1" x14ac:dyDescent="0.3">
      <c r="A180" s="11" t="s">
        <v>108</v>
      </c>
      <c r="B180" s="71"/>
      <c r="C180" s="101" t="s">
        <v>109</v>
      </c>
      <c r="D180" s="102"/>
      <c r="E180" s="67">
        <f t="shared" si="6"/>
        <v>440397</v>
      </c>
      <c r="F180" s="47">
        <f>367801-36781</f>
        <v>331020</v>
      </c>
      <c r="G180" s="47">
        <f>121528-12151</f>
        <v>109377</v>
      </c>
      <c r="H180" s="17"/>
      <c r="I180" s="17"/>
      <c r="J180" s="18"/>
    </row>
    <row r="181" spans="1:10" ht="33" customHeight="1" x14ac:dyDescent="0.3">
      <c r="A181" s="11" t="s">
        <v>61</v>
      </c>
      <c r="B181" s="71"/>
      <c r="C181" s="101" t="s">
        <v>123</v>
      </c>
      <c r="D181" s="102"/>
      <c r="E181" s="67">
        <f t="shared" si="6"/>
        <v>787098</v>
      </c>
      <c r="F181" s="47">
        <f>657348-65729</f>
        <v>591619</v>
      </c>
      <c r="G181" s="47">
        <f>217198-21719</f>
        <v>195479</v>
      </c>
      <c r="H181" s="17"/>
      <c r="I181" s="17"/>
      <c r="J181" s="18"/>
    </row>
    <row r="182" spans="1:10" ht="33" customHeight="1" x14ac:dyDescent="0.3">
      <c r="A182" s="11" t="s">
        <v>116</v>
      </c>
      <c r="B182" s="71"/>
      <c r="C182" s="101" t="s">
        <v>117</v>
      </c>
      <c r="D182" s="102"/>
      <c r="E182" s="67">
        <f t="shared" si="6"/>
        <v>627806</v>
      </c>
      <c r="F182" s="47">
        <f>524313-52428</f>
        <v>471885</v>
      </c>
      <c r="G182" s="47">
        <f>173242-17321</f>
        <v>155921</v>
      </c>
      <c r="H182" s="17"/>
      <c r="I182" s="17"/>
      <c r="J182" s="18"/>
    </row>
    <row r="183" spans="1:10" ht="33" customHeight="1" x14ac:dyDescent="0.3">
      <c r="A183" s="11" t="s">
        <v>120</v>
      </c>
      <c r="B183" s="71"/>
      <c r="C183" s="101" t="s">
        <v>121</v>
      </c>
      <c r="D183" s="102"/>
      <c r="E183" s="67">
        <f t="shared" si="6"/>
        <v>327957</v>
      </c>
      <c r="F183" s="47">
        <f>273895-27388</f>
        <v>246507</v>
      </c>
      <c r="G183" s="47">
        <f>90499-9049</f>
        <v>81450</v>
      </c>
      <c r="H183" s="17"/>
      <c r="I183" s="17"/>
      <c r="J183" s="18"/>
    </row>
    <row r="184" spans="1:10" s="10" customFormat="1" ht="33" customHeight="1" x14ac:dyDescent="0.3">
      <c r="A184" s="103" t="s">
        <v>206</v>
      </c>
      <c r="B184" s="104"/>
      <c r="C184" s="104"/>
      <c r="D184" s="105"/>
      <c r="E184" s="9">
        <f>SUM(E171:E183)</f>
        <v>21673303</v>
      </c>
      <c r="F184" s="15">
        <f>SUM(F171:F183)</f>
        <v>16290567</v>
      </c>
      <c r="G184" s="15">
        <f>SUM(G171:G183)</f>
        <v>5382736</v>
      </c>
      <c r="H184" s="17"/>
      <c r="I184" s="17"/>
      <c r="J184" s="18"/>
    </row>
    <row r="185" spans="1:10" ht="33" customHeight="1" x14ac:dyDescent="0.3">
      <c r="A185" s="11" t="s">
        <v>3</v>
      </c>
      <c r="B185" s="71"/>
      <c r="C185" s="101" t="s">
        <v>124</v>
      </c>
      <c r="D185" s="102"/>
      <c r="E185" s="67">
        <f>F185+G185</f>
        <v>252996</v>
      </c>
      <c r="F185" s="47">
        <f>211290-21128</f>
        <v>190162</v>
      </c>
      <c r="G185" s="47">
        <f>69814-6980</f>
        <v>62834</v>
      </c>
      <c r="H185" s="17"/>
      <c r="I185" s="17"/>
      <c r="J185" s="18"/>
    </row>
    <row r="186" spans="1:10" ht="33" customHeight="1" x14ac:dyDescent="0.3">
      <c r="A186" s="11" t="s">
        <v>4</v>
      </c>
      <c r="B186" s="71"/>
      <c r="C186" s="101" t="s">
        <v>125</v>
      </c>
      <c r="D186" s="102"/>
      <c r="E186" s="67">
        <f t="shared" ref="E186:E239" si="7">F186+G186</f>
        <v>187402</v>
      </c>
      <c r="F186" s="47">
        <f>156511-15653</f>
        <v>140858</v>
      </c>
      <c r="G186" s="47">
        <f>51714-5170</f>
        <v>46544</v>
      </c>
      <c r="H186" s="17"/>
      <c r="I186" s="17"/>
      <c r="J186" s="18"/>
    </row>
    <row r="187" spans="1:10" ht="33" customHeight="1" x14ac:dyDescent="0.3">
      <c r="A187" s="11" t="s">
        <v>16</v>
      </c>
      <c r="B187" s="71"/>
      <c r="C187" s="101" t="s">
        <v>126</v>
      </c>
      <c r="D187" s="102"/>
      <c r="E187" s="67">
        <f t="shared" si="7"/>
        <v>9367</v>
      </c>
      <c r="F187" s="47">
        <f>7825-785</f>
        <v>7040</v>
      </c>
      <c r="G187" s="47">
        <f>2586-259</f>
        <v>2327</v>
      </c>
      <c r="H187" s="17"/>
      <c r="I187" s="17"/>
      <c r="J187" s="18"/>
    </row>
    <row r="188" spans="1:10" ht="33" customHeight="1" x14ac:dyDescent="0.3">
      <c r="A188" s="11" t="s">
        <v>83</v>
      </c>
      <c r="B188" s="71"/>
      <c r="C188" s="101" t="s">
        <v>84</v>
      </c>
      <c r="D188" s="102"/>
      <c r="E188" s="67">
        <f t="shared" si="7"/>
        <v>74961</v>
      </c>
      <c r="F188" s="47">
        <f>62604-6260</f>
        <v>56344</v>
      </c>
      <c r="G188" s="47">
        <f>20686-2069</f>
        <v>18617</v>
      </c>
      <c r="H188" s="17"/>
      <c r="I188" s="17"/>
      <c r="J188" s="18"/>
    </row>
    <row r="189" spans="1:10" ht="33" customHeight="1" x14ac:dyDescent="0.3">
      <c r="A189" s="11" t="s">
        <v>47</v>
      </c>
      <c r="B189" s="71"/>
      <c r="C189" s="101" t="s">
        <v>129</v>
      </c>
      <c r="D189" s="102"/>
      <c r="E189" s="67">
        <f t="shared" si="7"/>
        <v>28109</v>
      </c>
      <c r="F189" s="47">
        <f>23477-2346</f>
        <v>21131</v>
      </c>
      <c r="G189" s="47">
        <f>7757-779</f>
        <v>6978</v>
      </c>
      <c r="H189" s="17"/>
      <c r="I189" s="17"/>
      <c r="J189" s="18"/>
    </row>
    <row r="190" spans="1:10" ht="33" customHeight="1" x14ac:dyDescent="0.3">
      <c r="A190" s="11" t="s">
        <v>17</v>
      </c>
      <c r="B190" s="71"/>
      <c r="C190" s="101" t="s">
        <v>140</v>
      </c>
      <c r="D190" s="102"/>
      <c r="E190" s="67">
        <f t="shared" si="7"/>
        <v>196776</v>
      </c>
      <c r="F190" s="47">
        <f>164337-16431</f>
        <v>147906</v>
      </c>
      <c r="G190" s="47">
        <f>54300-5430</f>
        <v>48870</v>
      </c>
      <c r="H190" s="17"/>
      <c r="I190" s="17"/>
      <c r="J190" s="18"/>
    </row>
    <row r="191" spans="1:10" ht="33" customHeight="1" x14ac:dyDescent="0.3">
      <c r="A191" s="11" t="s">
        <v>5</v>
      </c>
      <c r="B191" s="71"/>
      <c r="C191" s="101" t="s">
        <v>127</v>
      </c>
      <c r="D191" s="102"/>
      <c r="E191" s="67">
        <f t="shared" si="7"/>
        <v>149918</v>
      </c>
      <c r="F191" s="47">
        <f>125209-12523</f>
        <v>112686</v>
      </c>
      <c r="G191" s="47">
        <f>41371-4139</f>
        <v>37232</v>
      </c>
      <c r="H191" s="17"/>
      <c r="I191" s="17"/>
      <c r="J191" s="18"/>
    </row>
    <row r="192" spans="1:10" ht="33" customHeight="1" x14ac:dyDescent="0.3">
      <c r="A192" s="11" t="s">
        <v>85</v>
      </c>
      <c r="B192" s="71"/>
      <c r="C192" s="101" t="s">
        <v>86</v>
      </c>
      <c r="D192" s="102"/>
      <c r="E192" s="67">
        <f t="shared" si="7"/>
        <v>159291</v>
      </c>
      <c r="F192" s="47">
        <f>133035-13302</f>
        <v>119733</v>
      </c>
      <c r="G192" s="47">
        <f>43957-4399</f>
        <v>39558</v>
      </c>
      <c r="H192" s="17"/>
      <c r="I192" s="17"/>
      <c r="J192" s="18"/>
    </row>
    <row r="193" spans="1:10" ht="33" customHeight="1" x14ac:dyDescent="0.3">
      <c r="A193" s="11" t="s">
        <v>57</v>
      </c>
      <c r="B193" s="71"/>
      <c r="C193" s="101" t="s">
        <v>154</v>
      </c>
      <c r="D193" s="102"/>
      <c r="E193" s="67">
        <f t="shared" si="7"/>
        <v>271732</v>
      </c>
      <c r="F193" s="47">
        <f>226942-22696</f>
        <v>204246</v>
      </c>
      <c r="G193" s="47">
        <f>74985-7499</f>
        <v>67486</v>
      </c>
      <c r="H193" s="17"/>
      <c r="I193" s="17"/>
      <c r="J193" s="18"/>
    </row>
    <row r="194" spans="1:10" ht="33" customHeight="1" x14ac:dyDescent="0.3">
      <c r="A194" s="11" t="s">
        <v>40</v>
      </c>
      <c r="B194" s="71"/>
      <c r="C194" s="101" t="s">
        <v>141</v>
      </c>
      <c r="D194" s="102"/>
      <c r="E194" s="67">
        <f t="shared" si="7"/>
        <v>28109</v>
      </c>
      <c r="F194" s="47">
        <f>23477-2346</f>
        <v>21131</v>
      </c>
      <c r="G194" s="47">
        <f>7757-779</f>
        <v>6978</v>
      </c>
      <c r="H194" s="17"/>
      <c r="I194" s="17"/>
      <c r="J194" s="18"/>
    </row>
    <row r="195" spans="1:10" ht="33" customHeight="1" x14ac:dyDescent="0.3">
      <c r="A195" s="11" t="s">
        <v>67</v>
      </c>
      <c r="B195" s="71"/>
      <c r="C195" s="101" t="s">
        <v>68</v>
      </c>
      <c r="D195" s="102"/>
      <c r="E195" s="67">
        <f t="shared" si="7"/>
        <v>74961</v>
      </c>
      <c r="F195" s="47">
        <f>62604-6260</f>
        <v>56344</v>
      </c>
      <c r="G195" s="47">
        <f>20686-2069</f>
        <v>18617</v>
      </c>
      <c r="H195" s="17"/>
      <c r="I195" s="17"/>
      <c r="J195" s="18"/>
    </row>
    <row r="196" spans="1:10" ht="33" customHeight="1" x14ac:dyDescent="0.3">
      <c r="A196" s="11" t="s">
        <v>8</v>
      </c>
      <c r="B196" s="71"/>
      <c r="C196" s="101" t="s">
        <v>131</v>
      </c>
      <c r="D196" s="102"/>
      <c r="E196" s="67">
        <f t="shared" si="7"/>
        <v>37485</v>
      </c>
      <c r="F196" s="47">
        <f>31302-3129</f>
        <v>28173</v>
      </c>
      <c r="G196" s="47">
        <f>10343-1031</f>
        <v>9312</v>
      </c>
      <c r="H196" s="17"/>
      <c r="I196" s="17"/>
      <c r="J196" s="18"/>
    </row>
    <row r="197" spans="1:10" ht="33" customHeight="1" x14ac:dyDescent="0.3">
      <c r="A197" s="11" t="s">
        <v>89</v>
      </c>
      <c r="B197" s="71"/>
      <c r="C197" s="101" t="s">
        <v>90</v>
      </c>
      <c r="D197" s="102"/>
      <c r="E197" s="67">
        <f t="shared" si="7"/>
        <v>103073</v>
      </c>
      <c r="F197" s="47">
        <f>86081-8610</f>
        <v>77471</v>
      </c>
      <c r="G197" s="47">
        <f>28443-2841</f>
        <v>25602</v>
      </c>
      <c r="H197" s="17"/>
      <c r="I197" s="17"/>
      <c r="J197" s="18"/>
    </row>
    <row r="198" spans="1:10" ht="33" customHeight="1" x14ac:dyDescent="0.3">
      <c r="A198" s="11" t="s">
        <v>31</v>
      </c>
      <c r="B198" s="71"/>
      <c r="C198" s="101" t="s">
        <v>66</v>
      </c>
      <c r="D198" s="102"/>
      <c r="E198" s="67">
        <f t="shared" si="7"/>
        <v>18736</v>
      </c>
      <c r="F198" s="47">
        <f>15652-1568</f>
        <v>14084</v>
      </c>
      <c r="G198" s="47">
        <f>5171-519</f>
        <v>4652</v>
      </c>
      <c r="H198" s="17"/>
      <c r="I198" s="17"/>
      <c r="J198" s="18"/>
    </row>
    <row r="199" spans="1:10" ht="33" customHeight="1" x14ac:dyDescent="0.3">
      <c r="A199" s="11" t="s">
        <v>69</v>
      </c>
      <c r="B199" s="71"/>
      <c r="C199" s="101" t="s">
        <v>70</v>
      </c>
      <c r="D199" s="102"/>
      <c r="E199" s="67">
        <f t="shared" si="7"/>
        <v>84330</v>
      </c>
      <c r="F199" s="47">
        <f>70430-7042</f>
        <v>63388</v>
      </c>
      <c r="G199" s="47">
        <f>23271-2329</f>
        <v>20942</v>
      </c>
      <c r="H199" s="17"/>
      <c r="I199" s="17"/>
      <c r="J199" s="18"/>
    </row>
    <row r="200" spans="1:10" ht="33" customHeight="1" x14ac:dyDescent="0.3">
      <c r="A200" s="11" t="s">
        <v>7</v>
      </c>
      <c r="B200" s="71"/>
      <c r="C200" s="101" t="s">
        <v>130</v>
      </c>
      <c r="D200" s="102"/>
      <c r="E200" s="67">
        <f t="shared" si="7"/>
        <v>206143</v>
      </c>
      <c r="F200" s="47">
        <f>172163-17215</f>
        <v>154948</v>
      </c>
      <c r="G200" s="47">
        <f>56885-5690</f>
        <v>51195</v>
      </c>
      <c r="H200" s="17"/>
      <c r="I200" s="17"/>
      <c r="J200" s="18"/>
    </row>
    <row r="201" spans="1:10" ht="31.5" customHeight="1" x14ac:dyDescent="0.3">
      <c r="A201" s="11" t="s">
        <v>48</v>
      </c>
      <c r="B201" s="71"/>
      <c r="C201" s="101" t="s">
        <v>160</v>
      </c>
      <c r="D201" s="102"/>
      <c r="E201" s="67">
        <f t="shared" si="7"/>
        <v>337326</v>
      </c>
      <c r="F201" s="47">
        <f>281721-28171</f>
        <v>253550</v>
      </c>
      <c r="G201" s="47">
        <f>93085-9309</f>
        <v>83776</v>
      </c>
      <c r="H201" s="17"/>
      <c r="I201" s="17"/>
      <c r="J201" s="18"/>
    </row>
    <row r="202" spans="1:10" ht="33" customHeight="1" x14ac:dyDescent="0.3">
      <c r="A202" s="11" t="s">
        <v>28</v>
      </c>
      <c r="B202" s="71"/>
      <c r="C202" s="101" t="s">
        <v>162</v>
      </c>
      <c r="D202" s="102"/>
      <c r="E202" s="67">
        <f t="shared" si="7"/>
        <v>65594</v>
      </c>
      <c r="F202" s="47">
        <f>54779-5475</f>
        <v>49304</v>
      </c>
      <c r="G202" s="47">
        <f>18100-1810</f>
        <v>16290</v>
      </c>
      <c r="H202" s="17"/>
      <c r="I202" s="17"/>
      <c r="J202" s="18"/>
    </row>
    <row r="203" spans="1:10" ht="33" customHeight="1" x14ac:dyDescent="0.3">
      <c r="A203" s="11" t="s">
        <v>18</v>
      </c>
      <c r="B203" s="71"/>
      <c r="C203" s="101" t="s">
        <v>142</v>
      </c>
      <c r="D203" s="102"/>
      <c r="E203" s="67">
        <f t="shared" si="7"/>
        <v>262363</v>
      </c>
      <c r="F203" s="47">
        <f>219116-21912</f>
        <v>197204</v>
      </c>
      <c r="G203" s="47">
        <f>72399-7240</f>
        <v>65159</v>
      </c>
      <c r="H203" s="17"/>
      <c r="I203" s="17"/>
      <c r="J203" s="18"/>
    </row>
    <row r="204" spans="1:10" ht="33" customHeight="1" x14ac:dyDescent="0.3">
      <c r="A204" s="11" t="s">
        <v>97</v>
      </c>
      <c r="B204" s="71"/>
      <c r="C204" s="101" t="s">
        <v>98</v>
      </c>
      <c r="D204" s="102"/>
      <c r="E204" s="67">
        <f t="shared" si="7"/>
        <v>93698</v>
      </c>
      <c r="F204" s="47">
        <f>78256-7827</f>
        <v>70429</v>
      </c>
      <c r="G204" s="47">
        <f>25857-2588</f>
        <v>23269</v>
      </c>
      <c r="H204" s="17"/>
      <c r="I204" s="17"/>
      <c r="J204" s="18"/>
    </row>
    <row r="205" spans="1:10" ht="33" customHeight="1" x14ac:dyDescent="0.3">
      <c r="A205" s="11" t="s">
        <v>9</v>
      </c>
      <c r="B205" s="71"/>
      <c r="C205" s="101" t="s">
        <v>132</v>
      </c>
      <c r="D205" s="102"/>
      <c r="E205" s="67">
        <f t="shared" si="7"/>
        <v>28109</v>
      </c>
      <c r="F205" s="47">
        <f>23477-2346</f>
        <v>21131</v>
      </c>
      <c r="G205" s="47">
        <f>7757-779</f>
        <v>6978</v>
      </c>
      <c r="H205" s="17"/>
      <c r="I205" s="17"/>
      <c r="J205" s="18"/>
    </row>
    <row r="206" spans="1:10" ht="33" customHeight="1" x14ac:dyDescent="0.3">
      <c r="A206" s="11" t="s">
        <v>71</v>
      </c>
      <c r="B206" s="71"/>
      <c r="C206" s="101" t="s">
        <v>72</v>
      </c>
      <c r="D206" s="102"/>
      <c r="E206" s="67">
        <f t="shared" si="7"/>
        <v>93698</v>
      </c>
      <c r="F206" s="47">
        <f>78256-7827</f>
        <v>70429</v>
      </c>
      <c r="G206" s="47">
        <f>25857-2588</f>
        <v>23269</v>
      </c>
      <c r="H206" s="17"/>
      <c r="I206" s="17"/>
      <c r="J206" s="18"/>
    </row>
    <row r="207" spans="1:10" ht="33" customHeight="1" x14ac:dyDescent="0.3">
      <c r="A207" s="11" t="s">
        <v>23</v>
      </c>
      <c r="B207" s="71"/>
      <c r="C207" s="101" t="s">
        <v>151</v>
      </c>
      <c r="D207" s="102"/>
      <c r="E207" s="67">
        <f t="shared" si="7"/>
        <v>74961</v>
      </c>
      <c r="F207" s="47">
        <f>62604-6260</f>
        <v>56344</v>
      </c>
      <c r="G207" s="47">
        <f>20686-2069</f>
        <v>18617</v>
      </c>
      <c r="H207" s="17"/>
      <c r="I207" s="17"/>
      <c r="J207" s="18"/>
    </row>
    <row r="208" spans="1:10" ht="33" customHeight="1" x14ac:dyDescent="0.3">
      <c r="A208" s="11" t="s">
        <v>29</v>
      </c>
      <c r="B208" s="71"/>
      <c r="C208" s="101" t="s">
        <v>155</v>
      </c>
      <c r="D208" s="102"/>
      <c r="E208" s="67">
        <f t="shared" si="7"/>
        <v>234260</v>
      </c>
      <c r="F208" s="47">
        <f>195639-19561</f>
        <v>176078</v>
      </c>
      <c r="G208" s="47">
        <f>64643-6461</f>
        <v>58182</v>
      </c>
      <c r="H208" s="17"/>
      <c r="I208" s="17"/>
      <c r="J208" s="18"/>
    </row>
    <row r="209" spans="1:10" ht="33" customHeight="1" x14ac:dyDescent="0.3">
      <c r="A209" s="11" t="s">
        <v>30</v>
      </c>
      <c r="B209" s="71"/>
      <c r="C209" s="101" t="s">
        <v>175</v>
      </c>
      <c r="D209" s="102"/>
      <c r="E209" s="67">
        <f t="shared" si="7"/>
        <v>140549</v>
      </c>
      <c r="F209" s="47">
        <f>117384-11740</f>
        <v>105644</v>
      </c>
      <c r="G209" s="47">
        <f>38785-3880</f>
        <v>34905</v>
      </c>
      <c r="H209" s="17"/>
      <c r="I209" s="17"/>
      <c r="J209" s="18"/>
    </row>
    <row r="210" spans="1:10" ht="33" customHeight="1" x14ac:dyDescent="0.3">
      <c r="A210" s="11" t="s">
        <v>32</v>
      </c>
      <c r="B210" s="71"/>
      <c r="C210" s="101" t="s">
        <v>208</v>
      </c>
      <c r="D210" s="102"/>
      <c r="E210" s="67">
        <f t="shared" si="7"/>
        <v>140549</v>
      </c>
      <c r="F210" s="47">
        <f>117384-11740</f>
        <v>105644</v>
      </c>
      <c r="G210" s="47">
        <f>38785-3880</f>
        <v>34905</v>
      </c>
      <c r="H210" s="17"/>
      <c r="I210" s="17"/>
      <c r="J210" s="18"/>
    </row>
    <row r="211" spans="1:10" ht="33" customHeight="1" x14ac:dyDescent="0.3">
      <c r="A211" s="11" t="s">
        <v>43</v>
      </c>
      <c r="B211" s="71"/>
      <c r="C211" s="101" t="s">
        <v>139</v>
      </c>
      <c r="D211" s="102"/>
      <c r="E211" s="67">
        <f t="shared" si="7"/>
        <v>131182</v>
      </c>
      <c r="F211" s="47">
        <f>109558-10956</f>
        <v>98602</v>
      </c>
      <c r="G211" s="47">
        <f>36200-3620</f>
        <v>32580</v>
      </c>
      <c r="H211" s="17"/>
      <c r="I211" s="17"/>
      <c r="J211" s="18"/>
    </row>
    <row r="212" spans="1:10" ht="33" customHeight="1" x14ac:dyDescent="0.3">
      <c r="A212" s="11" t="s">
        <v>25</v>
      </c>
      <c r="B212" s="71"/>
      <c r="C212" s="101" t="s">
        <v>153</v>
      </c>
      <c r="D212" s="102"/>
      <c r="E212" s="67">
        <f t="shared" si="7"/>
        <v>65594</v>
      </c>
      <c r="F212" s="47">
        <f>54779-5475</f>
        <v>49304</v>
      </c>
      <c r="G212" s="47">
        <f>18100-1810</f>
        <v>16290</v>
      </c>
      <c r="H212" s="17"/>
      <c r="I212" s="17"/>
      <c r="J212" s="18"/>
    </row>
    <row r="213" spans="1:10" ht="33" customHeight="1" x14ac:dyDescent="0.3">
      <c r="A213" s="11" t="s">
        <v>104</v>
      </c>
      <c r="B213" s="71"/>
      <c r="C213" s="101" t="s">
        <v>105</v>
      </c>
      <c r="D213" s="102"/>
      <c r="E213" s="67">
        <f t="shared" si="7"/>
        <v>18736</v>
      </c>
      <c r="F213" s="47">
        <f>15652-1568</f>
        <v>14084</v>
      </c>
      <c r="G213" s="47">
        <f>5171-519</f>
        <v>4652</v>
      </c>
      <c r="H213" s="17"/>
      <c r="I213" s="17"/>
      <c r="J213" s="18"/>
    </row>
    <row r="214" spans="1:10" ht="33" customHeight="1" x14ac:dyDescent="0.3">
      <c r="A214" s="11" t="s">
        <v>11</v>
      </c>
      <c r="B214" s="71"/>
      <c r="C214" s="101" t="s">
        <v>176</v>
      </c>
      <c r="D214" s="102"/>
      <c r="E214" s="67">
        <f t="shared" si="7"/>
        <v>121813</v>
      </c>
      <c r="F214" s="47">
        <f>101732-10172</f>
        <v>91560</v>
      </c>
      <c r="G214" s="47">
        <f>33614-3361</f>
        <v>30253</v>
      </c>
      <c r="H214" s="17"/>
      <c r="I214" s="17"/>
      <c r="J214" s="18"/>
    </row>
    <row r="215" spans="1:10" ht="33" customHeight="1" x14ac:dyDescent="0.3">
      <c r="A215" s="11" t="s">
        <v>12</v>
      </c>
      <c r="B215" s="71"/>
      <c r="C215" s="101" t="s">
        <v>135</v>
      </c>
      <c r="D215" s="102"/>
      <c r="E215" s="67">
        <f t="shared" si="7"/>
        <v>262363</v>
      </c>
      <c r="F215" s="47">
        <f>219116-21912</f>
        <v>197204</v>
      </c>
      <c r="G215" s="47">
        <f>72399-7240</f>
        <v>65159</v>
      </c>
      <c r="H215" s="17"/>
      <c r="I215" s="17"/>
      <c r="J215" s="18"/>
    </row>
    <row r="216" spans="1:10" ht="33" customHeight="1" x14ac:dyDescent="0.3">
      <c r="A216" s="11" t="s">
        <v>73</v>
      </c>
      <c r="B216" s="71"/>
      <c r="C216" s="101" t="s">
        <v>74</v>
      </c>
      <c r="D216" s="102"/>
      <c r="E216" s="67">
        <f t="shared" si="7"/>
        <v>149918</v>
      </c>
      <c r="F216" s="47">
        <f>125209-12523</f>
        <v>112686</v>
      </c>
      <c r="G216" s="47">
        <f>41371-4139</f>
        <v>37232</v>
      </c>
      <c r="H216" s="17"/>
      <c r="I216" s="17"/>
      <c r="J216" s="18"/>
    </row>
    <row r="217" spans="1:10" ht="33" customHeight="1" x14ac:dyDescent="0.3">
      <c r="A217" s="11" t="s">
        <v>77</v>
      </c>
      <c r="B217" s="71"/>
      <c r="C217" s="101" t="s">
        <v>78</v>
      </c>
      <c r="D217" s="102"/>
      <c r="E217" s="67">
        <f t="shared" si="7"/>
        <v>168666</v>
      </c>
      <c r="F217" s="47">
        <f>140860-14086</f>
        <v>126774</v>
      </c>
      <c r="G217" s="47">
        <f>46543-4651</f>
        <v>41892</v>
      </c>
      <c r="H217" s="17"/>
      <c r="I217" s="17"/>
      <c r="J217" s="18"/>
    </row>
    <row r="218" spans="1:10" ht="33" customHeight="1" x14ac:dyDescent="0.3">
      <c r="A218" s="11" t="s">
        <v>53</v>
      </c>
      <c r="B218" s="71"/>
      <c r="C218" s="101" t="s">
        <v>172</v>
      </c>
      <c r="D218" s="102"/>
      <c r="E218" s="67">
        <f t="shared" si="7"/>
        <v>206143</v>
      </c>
      <c r="F218" s="47">
        <f>172163-17215</f>
        <v>154948</v>
      </c>
      <c r="G218" s="47">
        <f>56885-5690</f>
        <v>51195</v>
      </c>
      <c r="H218" s="17"/>
      <c r="I218" s="17"/>
      <c r="J218" s="18"/>
    </row>
    <row r="219" spans="1:10" ht="33" customHeight="1" x14ac:dyDescent="0.3">
      <c r="A219" s="11" t="s">
        <v>52</v>
      </c>
      <c r="B219" s="71"/>
      <c r="C219" s="101" t="s">
        <v>171</v>
      </c>
      <c r="D219" s="102"/>
      <c r="E219" s="67">
        <f t="shared" si="7"/>
        <v>224885</v>
      </c>
      <c r="F219" s="47">
        <f>187813-18783</f>
        <v>169030</v>
      </c>
      <c r="G219" s="47">
        <f>62057-6202</f>
        <v>55855</v>
      </c>
      <c r="H219" s="17"/>
      <c r="I219" s="17"/>
      <c r="J219" s="18"/>
    </row>
    <row r="220" spans="1:10" ht="33" customHeight="1" x14ac:dyDescent="0.3">
      <c r="A220" s="11" t="s">
        <v>34</v>
      </c>
      <c r="B220" s="71"/>
      <c r="C220" s="101" t="s">
        <v>158</v>
      </c>
      <c r="D220" s="102"/>
      <c r="E220" s="67">
        <f t="shared" si="7"/>
        <v>281105</v>
      </c>
      <c r="F220" s="47">
        <f>234767-23474</f>
        <v>211293</v>
      </c>
      <c r="G220" s="47">
        <f>77571-7759</f>
        <v>69812</v>
      </c>
      <c r="H220" s="17"/>
      <c r="I220" s="17"/>
      <c r="J220" s="18"/>
    </row>
    <row r="221" spans="1:10" ht="33" customHeight="1" x14ac:dyDescent="0.3">
      <c r="A221" s="11" t="s">
        <v>33</v>
      </c>
      <c r="B221" s="71"/>
      <c r="C221" s="101" t="s">
        <v>174</v>
      </c>
      <c r="D221" s="102"/>
      <c r="E221" s="67">
        <f t="shared" si="7"/>
        <v>149918</v>
      </c>
      <c r="F221" s="47">
        <f>125209-12523</f>
        <v>112686</v>
      </c>
      <c r="G221" s="47">
        <f>41371-4139</f>
        <v>37232</v>
      </c>
      <c r="H221" s="17"/>
      <c r="I221" s="17"/>
      <c r="J221" s="18"/>
    </row>
    <row r="222" spans="1:10" ht="33" customHeight="1" x14ac:dyDescent="0.3">
      <c r="A222" s="11" t="s">
        <v>110</v>
      </c>
      <c r="B222" s="71"/>
      <c r="C222" s="101" t="s">
        <v>111</v>
      </c>
      <c r="D222" s="102"/>
      <c r="E222" s="67">
        <f t="shared" si="7"/>
        <v>168666</v>
      </c>
      <c r="F222" s="47">
        <f>140860-14086</f>
        <v>126774</v>
      </c>
      <c r="G222" s="47">
        <f>46543-4651</f>
        <v>41892</v>
      </c>
      <c r="H222" s="17"/>
      <c r="I222" s="17"/>
      <c r="J222" s="18"/>
    </row>
    <row r="223" spans="1:10" ht="33" customHeight="1" x14ac:dyDescent="0.3">
      <c r="A223" s="11" t="s">
        <v>46</v>
      </c>
      <c r="B223" s="71"/>
      <c r="C223" s="101" t="s">
        <v>212</v>
      </c>
      <c r="D223" s="102"/>
      <c r="E223" s="67">
        <f t="shared" si="7"/>
        <v>337326</v>
      </c>
      <c r="F223" s="47">
        <f>281721-28171</f>
        <v>253550</v>
      </c>
      <c r="G223" s="47">
        <f>93085-9309</f>
        <v>83776</v>
      </c>
      <c r="H223" s="17"/>
      <c r="I223" s="17"/>
      <c r="J223" s="18"/>
    </row>
    <row r="224" spans="1:10" ht="33" customHeight="1" x14ac:dyDescent="0.3">
      <c r="A224" s="11" t="s">
        <v>112</v>
      </c>
      <c r="B224" s="71"/>
      <c r="C224" s="101" t="s">
        <v>113</v>
      </c>
      <c r="D224" s="102"/>
      <c r="E224" s="67">
        <f t="shared" si="7"/>
        <v>196776</v>
      </c>
      <c r="F224" s="47">
        <f>164337-16431</f>
        <v>147906</v>
      </c>
      <c r="G224" s="47">
        <f>54300-5430</f>
        <v>48870</v>
      </c>
      <c r="H224" s="17"/>
      <c r="I224" s="17"/>
      <c r="J224" s="18"/>
    </row>
    <row r="225" spans="1:10" ht="33" customHeight="1" x14ac:dyDescent="0.3">
      <c r="A225" s="11" t="s">
        <v>114</v>
      </c>
      <c r="B225" s="71"/>
      <c r="C225" s="101" t="s">
        <v>115</v>
      </c>
      <c r="D225" s="102"/>
      <c r="E225" s="67">
        <f t="shared" si="7"/>
        <v>112446</v>
      </c>
      <c r="F225" s="47">
        <f>93907-9389</f>
        <v>84518</v>
      </c>
      <c r="G225" s="47">
        <f>31028-3100</f>
        <v>27928</v>
      </c>
      <c r="H225" s="17"/>
      <c r="I225" s="17"/>
      <c r="J225" s="18"/>
    </row>
    <row r="226" spans="1:10" ht="33" customHeight="1" x14ac:dyDescent="0.3">
      <c r="A226" s="11" t="s">
        <v>35</v>
      </c>
      <c r="B226" s="71"/>
      <c r="C226" s="101" t="s">
        <v>159</v>
      </c>
      <c r="D226" s="102"/>
      <c r="E226" s="67">
        <f t="shared" si="7"/>
        <v>271732</v>
      </c>
      <c r="F226" s="47">
        <f>226942-22696</f>
        <v>204246</v>
      </c>
      <c r="G226" s="47">
        <f>74985-7499</f>
        <v>67486</v>
      </c>
      <c r="H226" s="17"/>
      <c r="I226" s="17"/>
      <c r="J226" s="18"/>
    </row>
    <row r="227" spans="1:10" ht="33" customHeight="1" x14ac:dyDescent="0.3">
      <c r="A227" s="11" t="s">
        <v>19</v>
      </c>
      <c r="B227" s="71"/>
      <c r="C227" s="101" t="s">
        <v>145</v>
      </c>
      <c r="D227" s="102"/>
      <c r="E227" s="67">
        <f t="shared" si="7"/>
        <v>37485</v>
      </c>
      <c r="F227" s="47">
        <f>31302-3129</f>
        <v>28173</v>
      </c>
      <c r="G227" s="47">
        <f>10343-1031</f>
        <v>9312</v>
      </c>
      <c r="H227" s="17"/>
      <c r="I227" s="17"/>
      <c r="J227" s="18"/>
    </row>
    <row r="228" spans="1:10" ht="33" customHeight="1" x14ac:dyDescent="0.3">
      <c r="A228" s="11" t="s">
        <v>6</v>
      </c>
      <c r="B228" s="71"/>
      <c r="C228" s="101" t="s">
        <v>128</v>
      </c>
      <c r="D228" s="102"/>
      <c r="E228" s="67">
        <f t="shared" si="7"/>
        <v>28109</v>
      </c>
      <c r="F228" s="47">
        <f>23477-2346</f>
        <v>21131</v>
      </c>
      <c r="G228" s="47">
        <f>7757-779</f>
        <v>6978</v>
      </c>
      <c r="H228" s="17"/>
      <c r="I228" s="17"/>
      <c r="J228" s="18"/>
    </row>
    <row r="229" spans="1:10" ht="33" customHeight="1" x14ac:dyDescent="0.3">
      <c r="A229" s="11" t="s">
        <v>15</v>
      </c>
      <c r="B229" s="71"/>
      <c r="C229" s="101" t="s">
        <v>138</v>
      </c>
      <c r="D229" s="102"/>
      <c r="E229" s="67">
        <f t="shared" si="7"/>
        <v>159291</v>
      </c>
      <c r="F229" s="47">
        <f>133035-13302</f>
        <v>119733</v>
      </c>
      <c r="G229" s="47">
        <f>43957-4399</f>
        <v>39558</v>
      </c>
      <c r="H229" s="17"/>
      <c r="I229" s="17"/>
      <c r="J229" s="18"/>
    </row>
    <row r="230" spans="1:10" ht="33" customHeight="1" x14ac:dyDescent="0.3">
      <c r="A230" s="11" t="s">
        <v>13</v>
      </c>
      <c r="B230" s="71"/>
      <c r="C230" s="101" t="s">
        <v>136</v>
      </c>
      <c r="D230" s="102"/>
      <c r="E230" s="67">
        <f t="shared" si="7"/>
        <v>496623</v>
      </c>
      <c r="F230" s="47">
        <f>414755-41473</f>
        <v>373282</v>
      </c>
      <c r="G230" s="47">
        <f>137042-13701</f>
        <v>123341</v>
      </c>
      <c r="H230" s="17"/>
      <c r="I230" s="17"/>
      <c r="J230" s="18"/>
    </row>
    <row r="231" spans="1:10" ht="30" customHeight="1" x14ac:dyDescent="0.3">
      <c r="A231" s="11" t="s">
        <v>44</v>
      </c>
      <c r="B231" s="71"/>
      <c r="C231" s="101" t="s">
        <v>146</v>
      </c>
      <c r="D231" s="102"/>
      <c r="E231" s="67">
        <f t="shared" si="7"/>
        <v>9367</v>
      </c>
      <c r="F231" s="47">
        <f>7825-785</f>
        <v>7040</v>
      </c>
      <c r="G231" s="47">
        <f>2586-259</f>
        <v>2327</v>
      </c>
      <c r="H231" s="17"/>
      <c r="I231" s="17"/>
      <c r="J231" s="18"/>
    </row>
    <row r="232" spans="1:10" ht="33" customHeight="1" x14ac:dyDescent="0.3">
      <c r="A232" s="11" t="s">
        <v>14</v>
      </c>
      <c r="B232" s="71"/>
      <c r="C232" s="101" t="s">
        <v>137</v>
      </c>
      <c r="D232" s="102"/>
      <c r="E232" s="67">
        <f t="shared" si="7"/>
        <v>18736</v>
      </c>
      <c r="F232" s="47">
        <f>15652-1568</f>
        <v>14084</v>
      </c>
      <c r="G232" s="47">
        <f>5171-519</f>
        <v>4652</v>
      </c>
      <c r="H232" s="17"/>
      <c r="I232" s="17"/>
      <c r="J232" s="18"/>
    </row>
    <row r="233" spans="1:10" ht="33" customHeight="1" x14ac:dyDescent="0.3">
      <c r="A233" s="11" t="s">
        <v>41</v>
      </c>
      <c r="B233" s="71"/>
      <c r="C233" s="101" t="s">
        <v>147</v>
      </c>
      <c r="D233" s="102"/>
      <c r="E233" s="67">
        <f t="shared" si="7"/>
        <v>178034</v>
      </c>
      <c r="F233" s="47">
        <f>148686-14869</f>
        <v>133817</v>
      </c>
      <c r="G233" s="47">
        <f>49128-4911</f>
        <v>44217</v>
      </c>
      <c r="H233" s="17"/>
      <c r="I233" s="17"/>
      <c r="J233" s="18"/>
    </row>
    <row r="234" spans="1:10" ht="33" customHeight="1" x14ac:dyDescent="0.3">
      <c r="A234" s="11" t="s">
        <v>37</v>
      </c>
      <c r="B234" s="71"/>
      <c r="C234" s="101" t="s">
        <v>157</v>
      </c>
      <c r="D234" s="102"/>
      <c r="E234" s="67">
        <f t="shared" si="7"/>
        <v>56222</v>
      </c>
      <c r="F234" s="47">
        <f>46954-4696</f>
        <v>42258</v>
      </c>
      <c r="G234" s="47">
        <f>15514-1550</f>
        <v>13964</v>
      </c>
      <c r="H234" s="17"/>
      <c r="I234" s="17"/>
      <c r="J234" s="18"/>
    </row>
    <row r="235" spans="1:10" ht="33" customHeight="1" x14ac:dyDescent="0.3">
      <c r="A235" s="11" t="s">
        <v>20</v>
      </c>
      <c r="B235" s="71"/>
      <c r="C235" s="101" t="s">
        <v>148</v>
      </c>
      <c r="D235" s="102"/>
      <c r="E235" s="67">
        <f t="shared" si="7"/>
        <v>309217</v>
      </c>
      <c r="F235" s="47">
        <f>258244-25825</f>
        <v>232419</v>
      </c>
      <c r="G235" s="47">
        <f>85328-8530</f>
        <v>76798</v>
      </c>
      <c r="H235" s="17"/>
      <c r="I235" s="17"/>
      <c r="J235" s="18"/>
    </row>
    <row r="236" spans="1:10" ht="33" customHeight="1" x14ac:dyDescent="0.3">
      <c r="A236" s="11" t="s">
        <v>38</v>
      </c>
      <c r="B236" s="71"/>
      <c r="C236" s="101" t="s">
        <v>156</v>
      </c>
      <c r="D236" s="102"/>
      <c r="E236" s="67">
        <f t="shared" si="7"/>
        <v>346694</v>
      </c>
      <c r="F236" s="47">
        <f>289546-28955</f>
        <v>260591</v>
      </c>
      <c r="G236" s="47">
        <f>95671-9568</f>
        <v>86103</v>
      </c>
      <c r="H236" s="17"/>
      <c r="I236" s="17"/>
      <c r="J236" s="18"/>
    </row>
    <row r="237" spans="1:10" ht="33" customHeight="1" x14ac:dyDescent="0.3">
      <c r="A237" s="11" t="s">
        <v>79</v>
      </c>
      <c r="B237" s="71"/>
      <c r="C237" s="101" t="s">
        <v>80</v>
      </c>
      <c r="D237" s="102"/>
      <c r="E237" s="67">
        <f t="shared" si="7"/>
        <v>18736</v>
      </c>
      <c r="F237" s="47">
        <f>15652-1568</f>
        <v>14084</v>
      </c>
      <c r="G237" s="47">
        <f>5171-519</f>
        <v>4652</v>
      </c>
      <c r="H237" s="17"/>
      <c r="I237" s="17"/>
      <c r="J237" s="18"/>
    </row>
    <row r="238" spans="1:10" ht="33" customHeight="1" x14ac:dyDescent="0.3">
      <c r="A238" s="11" t="s">
        <v>56</v>
      </c>
      <c r="B238" s="71"/>
      <c r="C238" s="101" t="s">
        <v>173</v>
      </c>
      <c r="D238" s="102"/>
      <c r="E238" s="67">
        <f t="shared" si="7"/>
        <v>9367</v>
      </c>
      <c r="F238" s="47">
        <f>7825-785</f>
        <v>7040</v>
      </c>
      <c r="G238" s="47">
        <f>2586-259</f>
        <v>2327</v>
      </c>
      <c r="H238" s="17"/>
      <c r="I238" s="17"/>
      <c r="J238" s="18"/>
    </row>
    <row r="239" spans="1:10" ht="33" customHeight="1" x14ac:dyDescent="0.3">
      <c r="A239" s="11" t="s">
        <v>45</v>
      </c>
      <c r="B239" s="71"/>
      <c r="C239" s="101" t="s">
        <v>165</v>
      </c>
      <c r="D239" s="102"/>
      <c r="E239" s="67">
        <f t="shared" si="7"/>
        <v>46851</v>
      </c>
      <c r="F239" s="47">
        <f>39128-3914</f>
        <v>35214</v>
      </c>
      <c r="G239" s="47">
        <f>12928-1291</f>
        <v>11637</v>
      </c>
      <c r="H239" s="17"/>
      <c r="I239" s="17"/>
      <c r="J239" s="18"/>
    </row>
    <row r="240" spans="1:10" s="10" customFormat="1" ht="33" customHeight="1" x14ac:dyDescent="0.3">
      <c r="A240" s="103" t="s">
        <v>177</v>
      </c>
      <c r="B240" s="104"/>
      <c r="C240" s="104"/>
      <c r="D240" s="105"/>
      <c r="E240" s="9">
        <f>SUM(E185:E239)</f>
        <v>7936497</v>
      </c>
      <c r="F240" s="15">
        <f>SUM(F185:F239)</f>
        <v>5965433</v>
      </c>
      <c r="G240" s="15">
        <f>SUM(G185:G239)</f>
        <v>1971064</v>
      </c>
      <c r="H240" s="17"/>
      <c r="I240" s="17"/>
      <c r="J240" s="18"/>
    </row>
    <row r="241" spans="1:10" ht="72.75" customHeight="1" x14ac:dyDescent="0.3">
      <c r="A241" s="19" t="s">
        <v>239</v>
      </c>
      <c r="B241" s="91">
        <v>9521</v>
      </c>
      <c r="C241" s="100" t="s">
        <v>240</v>
      </c>
      <c r="D241" s="100"/>
      <c r="E241" s="9">
        <f>E242</f>
        <v>1466050</v>
      </c>
      <c r="F241" s="133" t="s">
        <v>226</v>
      </c>
      <c r="G241" s="133"/>
      <c r="H241" s="133"/>
      <c r="I241" s="133"/>
      <c r="J241" s="133"/>
    </row>
    <row r="242" spans="1:10" s="10" customFormat="1" ht="33" customHeight="1" x14ac:dyDescent="0.3">
      <c r="A242" s="90" t="s">
        <v>0</v>
      </c>
      <c r="B242" s="91"/>
      <c r="C242" s="100" t="s">
        <v>1</v>
      </c>
      <c r="D242" s="100"/>
      <c r="E242" s="9">
        <f>F242</f>
        <v>1466050</v>
      </c>
      <c r="F242" s="135">
        <f>1466050</f>
        <v>1466050</v>
      </c>
      <c r="G242" s="135"/>
      <c r="H242" s="135"/>
      <c r="I242" s="135"/>
      <c r="J242" s="135"/>
    </row>
    <row r="243" spans="1:10" ht="42" customHeight="1" x14ac:dyDescent="0.3">
      <c r="A243" s="146" t="s">
        <v>265</v>
      </c>
      <c r="B243" s="147">
        <v>9620</v>
      </c>
      <c r="C243" s="100" t="s">
        <v>276</v>
      </c>
      <c r="D243" s="100"/>
      <c r="E243" s="134">
        <f>E247+E250</f>
        <v>909200</v>
      </c>
      <c r="F243" s="133" t="s">
        <v>266</v>
      </c>
      <c r="G243" s="133"/>
      <c r="H243" s="133"/>
      <c r="I243" s="133"/>
      <c r="J243" s="133"/>
    </row>
    <row r="244" spans="1:10" ht="102" customHeight="1" x14ac:dyDescent="0.3">
      <c r="A244" s="146"/>
      <c r="B244" s="147"/>
      <c r="C244" s="100"/>
      <c r="D244" s="100"/>
      <c r="E244" s="134"/>
      <c r="F244" s="133" t="s">
        <v>267</v>
      </c>
      <c r="G244" s="133"/>
      <c r="H244" s="135" t="s">
        <v>268</v>
      </c>
      <c r="I244" s="135"/>
      <c r="J244" s="135"/>
    </row>
    <row r="245" spans="1:10" ht="39.75" customHeight="1" x14ac:dyDescent="0.3">
      <c r="A245" s="11" t="s">
        <v>269</v>
      </c>
      <c r="B245" s="71"/>
      <c r="C245" s="101" t="s">
        <v>270</v>
      </c>
      <c r="D245" s="102"/>
      <c r="E245" s="67">
        <f>F245+H245</f>
        <v>1100</v>
      </c>
      <c r="F245" s="138"/>
      <c r="G245" s="139"/>
      <c r="H245" s="140">
        <v>1100</v>
      </c>
      <c r="I245" s="141"/>
      <c r="J245" s="142"/>
    </row>
    <row r="246" spans="1:10" ht="39.75" customHeight="1" x14ac:dyDescent="0.3">
      <c r="A246" s="11" t="s">
        <v>271</v>
      </c>
      <c r="B246" s="71"/>
      <c r="C246" s="101" t="s">
        <v>272</v>
      </c>
      <c r="D246" s="102"/>
      <c r="E246" s="67">
        <f>F246+H246</f>
        <v>400</v>
      </c>
      <c r="F246" s="138"/>
      <c r="G246" s="139"/>
      <c r="H246" s="140">
        <v>400</v>
      </c>
      <c r="I246" s="141"/>
      <c r="J246" s="142"/>
    </row>
    <row r="247" spans="1:10" s="10" customFormat="1" ht="39.75" customHeight="1" x14ac:dyDescent="0.3">
      <c r="A247" s="129" t="s">
        <v>273</v>
      </c>
      <c r="B247" s="129"/>
      <c r="C247" s="129"/>
      <c r="D247" s="129"/>
      <c r="E247" s="9">
        <f>SUM(E245:E246)</f>
        <v>1500</v>
      </c>
      <c r="F247" s="144">
        <f>F245+F246</f>
        <v>0</v>
      </c>
      <c r="G247" s="145"/>
      <c r="H247" s="130">
        <f>H245+H246</f>
        <v>1500</v>
      </c>
      <c r="I247" s="131"/>
      <c r="J247" s="132"/>
    </row>
    <row r="248" spans="1:10" s="10" customFormat="1" ht="33" customHeight="1" x14ac:dyDescent="0.3">
      <c r="A248" s="11" t="s">
        <v>112</v>
      </c>
      <c r="B248" s="71"/>
      <c r="C248" s="101" t="s">
        <v>113</v>
      </c>
      <c r="D248" s="102"/>
      <c r="E248" s="67">
        <f>F248+H248</f>
        <v>553100</v>
      </c>
      <c r="F248" s="140">
        <v>553100</v>
      </c>
      <c r="G248" s="142"/>
      <c r="H248" s="130"/>
      <c r="I248" s="131"/>
      <c r="J248" s="132"/>
    </row>
    <row r="249" spans="1:10" s="10" customFormat="1" ht="33" customHeight="1" x14ac:dyDescent="0.3">
      <c r="A249" s="11" t="s">
        <v>274</v>
      </c>
      <c r="B249" s="71"/>
      <c r="C249" s="101" t="s">
        <v>213</v>
      </c>
      <c r="D249" s="102"/>
      <c r="E249" s="67">
        <f>F249+H249</f>
        <v>354600</v>
      </c>
      <c r="F249" s="140">
        <v>354600</v>
      </c>
      <c r="G249" s="142"/>
      <c r="H249" s="62"/>
      <c r="I249" s="62"/>
      <c r="J249" s="60"/>
    </row>
    <row r="250" spans="1:10" s="10" customFormat="1" ht="33" customHeight="1" x14ac:dyDescent="0.3">
      <c r="A250" s="103" t="s">
        <v>177</v>
      </c>
      <c r="B250" s="104"/>
      <c r="C250" s="104"/>
      <c r="D250" s="105"/>
      <c r="E250" s="9">
        <f>E248+E249</f>
        <v>907700</v>
      </c>
      <c r="F250" s="130">
        <f t="shared" ref="F250" si="8">F248+F249</f>
        <v>907700</v>
      </c>
      <c r="G250" s="132"/>
      <c r="H250" s="144">
        <f>H248+H249</f>
        <v>0</v>
      </c>
      <c r="I250" s="164"/>
      <c r="J250" s="145"/>
    </row>
    <row r="251" spans="1:10" ht="80.25" customHeight="1" x14ac:dyDescent="0.3">
      <c r="A251" s="63" t="s">
        <v>284</v>
      </c>
      <c r="B251" s="66">
        <v>9410</v>
      </c>
      <c r="C251" s="151" t="s">
        <v>285</v>
      </c>
      <c r="D251" s="152"/>
      <c r="E251" s="61">
        <f>E254</f>
        <v>1434950</v>
      </c>
      <c r="F251" s="165" t="s">
        <v>226</v>
      </c>
      <c r="G251" s="166"/>
      <c r="H251" s="166"/>
      <c r="I251" s="166"/>
      <c r="J251" s="167"/>
    </row>
    <row r="252" spans="1:10" s="10" customFormat="1" ht="33" customHeight="1" x14ac:dyDescent="0.3">
      <c r="A252" s="11" t="s">
        <v>41</v>
      </c>
      <c r="B252" s="71"/>
      <c r="C252" s="97" t="s">
        <v>147</v>
      </c>
      <c r="D252" s="97"/>
      <c r="E252" s="9">
        <f>F252</f>
        <v>717475</v>
      </c>
      <c r="F252" s="144">
        <v>717475</v>
      </c>
      <c r="G252" s="164"/>
      <c r="H252" s="164"/>
      <c r="I252" s="164"/>
      <c r="J252" s="145"/>
    </row>
    <row r="253" spans="1:10" s="10" customFormat="1" ht="33" customHeight="1" x14ac:dyDescent="0.3">
      <c r="A253" s="64" t="s">
        <v>20</v>
      </c>
      <c r="B253" s="68"/>
      <c r="C253" s="97" t="s">
        <v>148</v>
      </c>
      <c r="D253" s="97"/>
      <c r="E253" s="9">
        <f>F253</f>
        <v>717475</v>
      </c>
      <c r="F253" s="144">
        <f>574000+143475</f>
        <v>717475</v>
      </c>
      <c r="G253" s="164"/>
      <c r="H253" s="164"/>
      <c r="I253" s="164"/>
      <c r="J253" s="145"/>
    </row>
    <row r="254" spans="1:10" s="10" customFormat="1" ht="33" customHeight="1" x14ac:dyDescent="0.3">
      <c r="A254" s="103" t="s">
        <v>177</v>
      </c>
      <c r="B254" s="104"/>
      <c r="C254" s="104"/>
      <c r="D254" s="105"/>
      <c r="E254" s="9">
        <f>E253+E252</f>
        <v>1434950</v>
      </c>
      <c r="F254" s="144">
        <f>F253+F252</f>
        <v>1434950</v>
      </c>
      <c r="G254" s="164"/>
      <c r="H254" s="164"/>
      <c r="I254" s="164"/>
      <c r="J254" s="145"/>
    </row>
    <row r="255" spans="1:10" ht="52.5" customHeight="1" x14ac:dyDescent="0.3">
      <c r="A255" s="19" t="s">
        <v>188</v>
      </c>
      <c r="B255" s="68">
        <v>9770</v>
      </c>
      <c r="C255" s="100" t="s">
        <v>216</v>
      </c>
      <c r="D255" s="100"/>
      <c r="E255" s="9">
        <f>E256</f>
        <v>90000000</v>
      </c>
      <c r="F255" s="135"/>
      <c r="G255" s="135"/>
      <c r="H255" s="135"/>
      <c r="I255" s="135"/>
      <c r="J255" s="135"/>
    </row>
    <row r="256" spans="1:10" s="10" customFormat="1" ht="33" customHeight="1" x14ac:dyDescent="0.3">
      <c r="A256" s="64" t="s">
        <v>0</v>
      </c>
      <c r="B256" s="68"/>
      <c r="C256" s="162" t="s">
        <v>1</v>
      </c>
      <c r="D256" s="163"/>
      <c r="E256" s="9">
        <v>90000000</v>
      </c>
      <c r="F256" s="135"/>
      <c r="G256" s="135"/>
      <c r="H256" s="135"/>
      <c r="I256" s="135"/>
      <c r="J256" s="135"/>
    </row>
    <row r="257" spans="1:10" ht="42.75" customHeight="1" x14ac:dyDescent="0.3">
      <c r="A257" s="50" t="s">
        <v>189</v>
      </c>
      <c r="B257" s="68">
        <v>9770</v>
      </c>
      <c r="C257" s="100" t="s">
        <v>199</v>
      </c>
      <c r="D257" s="100"/>
      <c r="E257" s="9">
        <f>E271+E337</f>
        <v>3625200</v>
      </c>
      <c r="F257" s="143"/>
      <c r="G257" s="143"/>
      <c r="H257" s="143"/>
      <c r="I257" s="143"/>
      <c r="J257" s="143"/>
    </row>
    <row r="258" spans="1:10" ht="33" customHeight="1" x14ac:dyDescent="0.3">
      <c r="A258" s="11" t="s">
        <v>87</v>
      </c>
      <c r="B258" s="71"/>
      <c r="C258" s="97" t="s">
        <v>88</v>
      </c>
      <c r="D258" s="97"/>
      <c r="E258" s="67">
        <v>16181</v>
      </c>
      <c r="F258" s="143"/>
      <c r="G258" s="143"/>
      <c r="H258" s="143"/>
      <c r="I258" s="143"/>
      <c r="J258" s="143"/>
    </row>
    <row r="259" spans="1:10" ht="33" customHeight="1" x14ac:dyDescent="0.3">
      <c r="A259" s="11" t="s">
        <v>91</v>
      </c>
      <c r="B259" s="71"/>
      <c r="C259" s="97" t="s">
        <v>92</v>
      </c>
      <c r="D259" s="97"/>
      <c r="E259" s="67">
        <v>1356918</v>
      </c>
      <c r="F259" s="143"/>
      <c r="G259" s="143"/>
      <c r="H259" s="143"/>
      <c r="I259" s="143"/>
      <c r="J259" s="143"/>
    </row>
    <row r="260" spans="1:10" ht="33" customHeight="1" x14ac:dyDescent="0.3">
      <c r="A260" s="11" t="s">
        <v>81</v>
      </c>
      <c r="B260" s="71"/>
      <c r="C260" s="97" t="s">
        <v>82</v>
      </c>
      <c r="D260" s="97"/>
      <c r="E260" s="67">
        <v>219179</v>
      </c>
      <c r="F260" s="143"/>
      <c r="G260" s="143"/>
      <c r="H260" s="143"/>
      <c r="I260" s="143"/>
      <c r="J260" s="143"/>
    </row>
    <row r="261" spans="1:10" ht="33" customHeight="1" x14ac:dyDescent="0.3">
      <c r="A261" s="11" t="s">
        <v>93</v>
      </c>
      <c r="B261" s="71"/>
      <c r="C261" s="97" t="s">
        <v>94</v>
      </c>
      <c r="D261" s="97"/>
      <c r="E261" s="67">
        <v>64724</v>
      </c>
      <c r="F261" s="143"/>
      <c r="G261" s="143"/>
      <c r="H261" s="143"/>
      <c r="I261" s="143"/>
      <c r="J261" s="143"/>
    </row>
    <row r="262" spans="1:10" ht="33" customHeight="1" x14ac:dyDescent="0.3">
      <c r="A262" s="11" t="s">
        <v>95</v>
      </c>
      <c r="B262" s="71"/>
      <c r="C262" s="97" t="s">
        <v>96</v>
      </c>
      <c r="D262" s="97"/>
      <c r="E262" s="67">
        <v>828173</v>
      </c>
      <c r="F262" s="143"/>
      <c r="G262" s="143"/>
      <c r="H262" s="143"/>
      <c r="I262" s="143"/>
      <c r="J262" s="143"/>
    </row>
    <row r="263" spans="1:10" ht="33" customHeight="1" x14ac:dyDescent="0.3">
      <c r="A263" s="11" t="s">
        <v>60</v>
      </c>
      <c r="B263" s="71"/>
      <c r="C263" s="97" t="s">
        <v>122</v>
      </c>
      <c r="D263" s="97"/>
      <c r="E263" s="67">
        <v>33833</v>
      </c>
      <c r="F263" s="143"/>
      <c r="G263" s="143"/>
      <c r="H263" s="143"/>
      <c r="I263" s="143"/>
      <c r="J263" s="143"/>
    </row>
    <row r="264" spans="1:10" ht="33" customHeight="1" x14ac:dyDescent="0.3">
      <c r="A264" s="11" t="s">
        <v>100</v>
      </c>
      <c r="B264" s="71"/>
      <c r="C264" s="97" t="s">
        <v>101</v>
      </c>
      <c r="D264" s="97"/>
      <c r="E264" s="67">
        <v>117680</v>
      </c>
      <c r="F264" s="143"/>
      <c r="G264" s="143"/>
      <c r="H264" s="143"/>
      <c r="I264" s="143"/>
      <c r="J264" s="143"/>
    </row>
    <row r="265" spans="1:10" ht="33" customHeight="1" x14ac:dyDescent="0.3">
      <c r="A265" s="11" t="s">
        <v>102</v>
      </c>
      <c r="B265" s="71"/>
      <c r="C265" s="97" t="s">
        <v>103</v>
      </c>
      <c r="D265" s="97"/>
      <c r="E265" s="67">
        <v>79434</v>
      </c>
      <c r="F265" s="143"/>
      <c r="G265" s="143"/>
      <c r="H265" s="143"/>
      <c r="I265" s="143"/>
      <c r="J265" s="143"/>
    </row>
    <row r="266" spans="1:10" ht="33" customHeight="1" x14ac:dyDescent="0.3">
      <c r="A266" s="11" t="s">
        <v>106</v>
      </c>
      <c r="B266" s="71"/>
      <c r="C266" s="97" t="s">
        <v>107</v>
      </c>
      <c r="D266" s="97"/>
      <c r="E266" s="67">
        <v>92673</v>
      </c>
      <c r="F266" s="143"/>
      <c r="G266" s="143"/>
      <c r="H266" s="143"/>
      <c r="I266" s="143"/>
      <c r="J266" s="143"/>
    </row>
    <row r="267" spans="1:10" ht="33" customHeight="1" x14ac:dyDescent="0.3">
      <c r="A267" s="11" t="s">
        <v>108</v>
      </c>
      <c r="B267" s="71"/>
      <c r="C267" s="97" t="s">
        <v>109</v>
      </c>
      <c r="D267" s="97"/>
      <c r="E267" s="67">
        <v>26478</v>
      </c>
      <c r="F267" s="143"/>
      <c r="G267" s="143"/>
      <c r="H267" s="143"/>
      <c r="I267" s="143"/>
      <c r="J267" s="143"/>
    </row>
    <row r="268" spans="1:10" ht="33" customHeight="1" x14ac:dyDescent="0.3">
      <c r="A268" s="11" t="s">
        <v>61</v>
      </c>
      <c r="B268" s="71"/>
      <c r="C268" s="97" t="s">
        <v>123</v>
      </c>
      <c r="D268" s="97"/>
      <c r="E268" s="67">
        <v>55898</v>
      </c>
      <c r="F268" s="143"/>
      <c r="G268" s="143"/>
      <c r="H268" s="143"/>
      <c r="I268" s="143"/>
      <c r="J268" s="143"/>
    </row>
    <row r="269" spans="1:10" ht="33" customHeight="1" x14ac:dyDescent="0.3">
      <c r="A269" s="11" t="s">
        <v>116</v>
      </c>
      <c r="B269" s="71"/>
      <c r="C269" s="97" t="s">
        <v>117</v>
      </c>
      <c r="D269" s="97"/>
      <c r="E269" s="67">
        <v>25007</v>
      </c>
      <c r="F269" s="143"/>
      <c r="G269" s="143"/>
      <c r="H269" s="143"/>
      <c r="I269" s="143"/>
      <c r="J269" s="143"/>
    </row>
    <row r="270" spans="1:10" ht="33" customHeight="1" x14ac:dyDescent="0.3">
      <c r="A270" s="11" t="s">
        <v>120</v>
      </c>
      <c r="B270" s="71"/>
      <c r="C270" s="97" t="s">
        <v>121</v>
      </c>
      <c r="D270" s="97"/>
      <c r="E270" s="67">
        <v>25007</v>
      </c>
      <c r="F270" s="143"/>
      <c r="G270" s="143"/>
      <c r="H270" s="143"/>
      <c r="I270" s="143"/>
      <c r="J270" s="143"/>
    </row>
    <row r="271" spans="1:10" s="10" customFormat="1" ht="33" customHeight="1" x14ac:dyDescent="0.3">
      <c r="A271" s="129" t="s">
        <v>206</v>
      </c>
      <c r="B271" s="129"/>
      <c r="C271" s="129"/>
      <c r="D271" s="129"/>
      <c r="E271" s="9">
        <f>SUM(E258:E270)</f>
        <v>2941185</v>
      </c>
      <c r="F271" s="135"/>
      <c r="G271" s="135"/>
      <c r="H271" s="135"/>
      <c r="I271" s="135"/>
      <c r="J271" s="135"/>
    </row>
    <row r="272" spans="1:10" ht="33" customHeight="1" x14ac:dyDescent="0.3">
      <c r="A272" s="11" t="s">
        <v>3</v>
      </c>
      <c r="B272" s="71"/>
      <c r="C272" s="97" t="s">
        <v>124</v>
      </c>
      <c r="D272" s="97"/>
      <c r="E272" s="67">
        <v>17652</v>
      </c>
      <c r="F272" s="143"/>
      <c r="G272" s="143"/>
      <c r="H272" s="143"/>
      <c r="I272" s="143"/>
      <c r="J272" s="143"/>
    </row>
    <row r="273" spans="1:10" ht="33" customHeight="1" x14ac:dyDescent="0.3">
      <c r="A273" s="11" t="s">
        <v>4</v>
      </c>
      <c r="B273" s="71"/>
      <c r="C273" s="97" t="s">
        <v>125</v>
      </c>
      <c r="D273" s="97"/>
      <c r="E273" s="67">
        <v>4413</v>
      </c>
      <c r="F273" s="143"/>
      <c r="G273" s="143"/>
      <c r="H273" s="143"/>
      <c r="I273" s="143"/>
      <c r="J273" s="143"/>
    </row>
    <row r="274" spans="1:10" ht="33" customHeight="1" x14ac:dyDescent="0.3">
      <c r="A274" s="11" t="s">
        <v>16</v>
      </c>
      <c r="B274" s="71"/>
      <c r="C274" s="97" t="s">
        <v>126</v>
      </c>
      <c r="D274" s="97"/>
      <c r="E274" s="67">
        <v>10297</v>
      </c>
      <c r="F274" s="143"/>
      <c r="G274" s="143"/>
      <c r="H274" s="143"/>
      <c r="I274" s="143"/>
      <c r="J274" s="143"/>
    </row>
    <row r="275" spans="1:10" ht="33" customHeight="1" x14ac:dyDescent="0.3">
      <c r="A275" s="11" t="s">
        <v>47</v>
      </c>
      <c r="B275" s="71"/>
      <c r="C275" s="97" t="s">
        <v>129</v>
      </c>
      <c r="D275" s="97"/>
      <c r="E275" s="67">
        <v>2942</v>
      </c>
      <c r="F275" s="143"/>
      <c r="G275" s="143"/>
      <c r="H275" s="143"/>
      <c r="I275" s="143"/>
      <c r="J275" s="143"/>
    </row>
    <row r="276" spans="1:10" ht="33" customHeight="1" x14ac:dyDescent="0.3">
      <c r="A276" s="11" t="s">
        <v>17</v>
      </c>
      <c r="B276" s="71"/>
      <c r="C276" s="97" t="s">
        <v>140</v>
      </c>
      <c r="D276" s="97"/>
      <c r="E276" s="67">
        <v>36775</v>
      </c>
      <c r="F276" s="143"/>
      <c r="G276" s="143"/>
      <c r="H276" s="143"/>
      <c r="I276" s="143"/>
      <c r="J276" s="143"/>
    </row>
    <row r="277" spans="1:10" ht="33" customHeight="1" x14ac:dyDescent="0.3">
      <c r="A277" s="11" t="s">
        <v>21</v>
      </c>
      <c r="B277" s="71"/>
      <c r="C277" s="97" t="s">
        <v>149</v>
      </c>
      <c r="D277" s="97"/>
      <c r="E277" s="67">
        <v>5884</v>
      </c>
      <c r="F277" s="143"/>
      <c r="G277" s="143"/>
      <c r="H277" s="143"/>
      <c r="I277" s="143"/>
      <c r="J277" s="143"/>
    </row>
    <row r="278" spans="1:10" ht="33" customHeight="1" x14ac:dyDescent="0.3">
      <c r="A278" s="11" t="s">
        <v>5</v>
      </c>
      <c r="B278" s="71"/>
      <c r="C278" s="97" t="s">
        <v>127</v>
      </c>
      <c r="D278" s="97"/>
      <c r="E278" s="67">
        <v>1471</v>
      </c>
      <c r="F278" s="143"/>
      <c r="G278" s="143"/>
      <c r="H278" s="143"/>
      <c r="I278" s="143"/>
      <c r="J278" s="143"/>
    </row>
    <row r="279" spans="1:10" ht="33" customHeight="1" x14ac:dyDescent="0.3">
      <c r="A279" s="11" t="s">
        <v>85</v>
      </c>
      <c r="B279" s="71"/>
      <c r="C279" s="97" t="s">
        <v>86</v>
      </c>
      <c r="D279" s="97"/>
      <c r="E279" s="67">
        <v>4413</v>
      </c>
      <c r="F279" s="143"/>
      <c r="G279" s="143"/>
      <c r="H279" s="143"/>
      <c r="I279" s="143"/>
      <c r="J279" s="143"/>
    </row>
    <row r="280" spans="1:10" ht="33" customHeight="1" x14ac:dyDescent="0.3">
      <c r="A280" s="11" t="s">
        <v>57</v>
      </c>
      <c r="B280" s="71"/>
      <c r="C280" s="97" t="s">
        <v>154</v>
      </c>
      <c r="D280" s="97"/>
      <c r="E280" s="67">
        <v>36775</v>
      </c>
      <c r="F280" s="143"/>
      <c r="G280" s="143"/>
      <c r="H280" s="143"/>
      <c r="I280" s="143"/>
      <c r="J280" s="143"/>
    </row>
    <row r="281" spans="1:10" ht="33" customHeight="1" x14ac:dyDescent="0.3">
      <c r="A281" s="11" t="s">
        <v>40</v>
      </c>
      <c r="B281" s="71"/>
      <c r="C281" s="97" t="s">
        <v>141</v>
      </c>
      <c r="D281" s="97"/>
      <c r="E281" s="67">
        <v>4413</v>
      </c>
      <c r="F281" s="143"/>
      <c r="G281" s="143"/>
      <c r="H281" s="143"/>
      <c r="I281" s="143"/>
      <c r="J281" s="143"/>
    </row>
    <row r="282" spans="1:10" ht="33" customHeight="1" x14ac:dyDescent="0.3">
      <c r="A282" s="11" t="s">
        <v>67</v>
      </c>
      <c r="B282" s="71"/>
      <c r="C282" s="97" t="s">
        <v>68</v>
      </c>
      <c r="D282" s="97"/>
      <c r="E282" s="67">
        <v>4413</v>
      </c>
      <c r="F282" s="143"/>
      <c r="G282" s="143"/>
      <c r="H282" s="143"/>
      <c r="I282" s="143"/>
      <c r="J282" s="143"/>
    </row>
    <row r="283" spans="1:10" ht="33" customHeight="1" x14ac:dyDescent="0.3">
      <c r="A283" s="11" t="s">
        <v>22</v>
      </c>
      <c r="B283" s="71"/>
      <c r="C283" s="97" t="s">
        <v>150</v>
      </c>
      <c r="D283" s="97"/>
      <c r="E283" s="67">
        <v>8826</v>
      </c>
      <c r="F283" s="143"/>
      <c r="G283" s="143"/>
      <c r="H283" s="143"/>
      <c r="I283" s="143"/>
      <c r="J283" s="143"/>
    </row>
    <row r="284" spans="1:10" ht="33" customHeight="1" x14ac:dyDescent="0.3">
      <c r="A284" s="11" t="s">
        <v>8</v>
      </c>
      <c r="B284" s="71"/>
      <c r="C284" s="97" t="s">
        <v>131</v>
      </c>
      <c r="D284" s="97"/>
      <c r="E284" s="67">
        <v>8826</v>
      </c>
      <c r="F284" s="143"/>
      <c r="G284" s="143"/>
      <c r="H284" s="143"/>
      <c r="I284" s="143"/>
      <c r="J284" s="143"/>
    </row>
    <row r="285" spans="1:10" ht="33" customHeight="1" x14ac:dyDescent="0.3">
      <c r="A285" s="11" t="s">
        <v>89</v>
      </c>
      <c r="B285" s="71"/>
      <c r="C285" s="97" t="s">
        <v>90</v>
      </c>
      <c r="D285" s="97"/>
      <c r="E285" s="67">
        <v>14710</v>
      </c>
      <c r="F285" s="143"/>
      <c r="G285" s="143"/>
      <c r="H285" s="143"/>
      <c r="I285" s="143"/>
      <c r="J285" s="143"/>
    </row>
    <row r="286" spans="1:10" ht="33" customHeight="1" x14ac:dyDescent="0.3">
      <c r="A286" s="11" t="s">
        <v>39</v>
      </c>
      <c r="B286" s="71"/>
      <c r="C286" s="97" t="s">
        <v>169</v>
      </c>
      <c r="D286" s="97"/>
      <c r="E286" s="67">
        <v>2942</v>
      </c>
      <c r="F286" s="143"/>
      <c r="G286" s="143"/>
      <c r="H286" s="143"/>
      <c r="I286" s="143"/>
      <c r="J286" s="143"/>
    </row>
    <row r="287" spans="1:10" ht="33" customHeight="1" x14ac:dyDescent="0.3">
      <c r="A287" s="11" t="s">
        <v>31</v>
      </c>
      <c r="B287" s="71"/>
      <c r="C287" s="97" t="s">
        <v>66</v>
      </c>
      <c r="D287" s="97"/>
      <c r="E287" s="67">
        <v>11768</v>
      </c>
      <c r="F287" s="143"/>
      <c r="G287" s="143"/>
      <c r="H287" s="143"/>
      <c r="I287" s="143"/>
      <c r="J287" s="143"/>
    </row>
    <row r="288" spans="1:10" ht="33" customHeight="1" x14ac:dyDescent="0.3">
      <c r="A288" s="11" t="s">
        <v>69</v>
      </c>
      <c r="B288" s="71"/>
      <c r="C288" s="97" t="s">
        <v>70</v>
      </c>
      <c r="D288" s="97"/>
      <c r="E288" s="67">
        <v>1471</v>
      </c>
      <c r="F288" s="143"/>
      <c r="G288" s="143"/>
      <c r="H288" s="143"/>
      <c r="I288" s="143"/>
      <c r="J288" s="143"/>
    </row>
    <row r="289" spans="1:10" ht="33" customHeight="1" x14ac:dyDescent="0.3">
      <c r="A289" s="11" t="s">
        <v>7</v>
      </c>
      <c r="B289" s="71"/>
      <c r="C289" s="97" t="s">
        <v>130</v>
      </c>
      <c r="D289" s="97"/>
      <c r="E289" s="67">
        <v>14710</v>
      </c>
      <c r="F289" s="143"/>
      <c r="G289" s="143"/>
      <c r="H289" s="143"/>
      <c r="I289" s="143"/>
      <c r="J289" s="143"/>
    </row>
    <row r="290" spans="1:10" ht="33" customHeight="1" x14ac:dyDescent="0.3">
      <c r="A290" s="11" t="s">
        <v>48</v>
      </c>
      <c r="B290" s="71"/>
      <c r="C290" s="97" t="s">
        <v>160</v>
      </c>
      <c r="D290" s="97"/>
      <c r="E290" s="67">
        <v>14710</v>
      </c>
      <c r="F290" s="143"/>
      <c r="G290" s="143"/>
      <c r="H290" s="143"/>
      <c r="I290" s="143"/>
      <c r="J290" s="143"/>
    </row>
    <row r="291" spans="1:10" ht="33" customHeight="1" x14ac:dyDescent="0.3">
      <c r="A291" s="11" t="s">
        <v>27</v>
      </c>
      <c r="B291" s="71"/>
      <c r="C291" s="97" t="s">
        <v>163</v>
      </c>
      <c r="D291" s="97"/>
      <c r="E291" s="67">
        <v>2942</v>
      </c>
      <c r="F291" s="143"/>
      <c r="G291" s="143"/>
      <c r="H291" s="143"/>
      <c r="I291" s="143"/>
      <c r="J291" s="143"/>
    </row>
    <row r="292" spans="1:10" ht="33" customHeight="1" x14ac:dyDescent="0.3">
      <c r="A292" s="11" t="s">
        <v>18</v>
      </c>
      <c r="B292" s="71"/>
      <c r="C292" s="97" t="s">
        <v>142</v>
      </c>
      <c r="D292" s="97"/>
      <c r="E292" s="67">
        <v>17652</v>
      </c>
      <c r="F292" s="143"/>
      <c r="G292" s="143"/>
      <c r="H292" s="143"/>
      <c r="I292" s="143"/>
      <c r="J292" s="143"/>
    </row>
    <row r="293" spans="1:10" ht="33" customHeight="1" x14ac:dyDescent="0.3">
      <c r="A293" s="11" t="s">
        <v>51</v>
      </c>
      <c r="B293" s="71"/>
      <c r="C293" s="97" t="s">
        <v>170</v>
      </c>
      <c r="D293" s="97"/>
      <c r="E293" s="67">
        <v>2942</v>
      </c>
      <c r="F293" s="143"/>
      <c r="G293" s="143"/>
      <c r="H293" s="143"/>
      <c r="I293" s="143"/>
      <c r="J293" s="143"/>
    </row>
    <row r="294" spans="1:10" ht="33" customHeight="1" x14ac:dyDescent="0.3">
      <c r="A294" s="11" t="s">
        <v>97</v>
      </c>
      <c r="B294" s="71"/>
      <c r="C294" s="97" t="s">
        <v>98</v>
      </c>
      <c r="D294" s="97"/>
      <c r="E294" s="67">
        <v>13239</v>
      </c>
      <c r="F294" s="143"/>
      <c r="G294" s="143"/>
      <c r="H294" s="143"/>
      <c r="I294" s="143"/>
      <c r="J294" s="143"/>
    </row>
    <row r="295" spans="1:10" ht="33" customHeight="1" x14ac:dyDescent="0.3">
      <c r="A295" s="11" t="s">
        <v>49</v>
      </c>
      <c r="B295" s="71"/>
      <c r="C295" s="97" t="s">
        <v>166</v>
      </c>
      <c r="D295" s="97"/>
      <c r="E295" s="67">
        <v>2942</v>
      </c>
      <c r="F295" s="143"/>
      <c r="G295" s="143"/>
      <c r="H295" s="143"/>
      <c r="I295" s="143"/>
      <c r="J295" s="143"/>
    </row>
    <row r="296" spans="1:10" ht="33" customHeight="1" x14ac:dyDescent="0.3">
      <c r="A296" s="11" t="s">
        <v>71</v>
      </c>
      <c r="B296" s="71"/>
      <c r="C296" s="97" t="s">
        <v>72</v>
      </c>
      <c r="D296" s="97"/>
      <c r="E296" s="67">
        <v>13239</v>
      </c>
      <c r="F296" s="143"/>
      <c r="G296" s="143"/>
      <c r="H296" s="143"/>
      <c r="I296" s="143"/>
      <c r="J296" s="143"/>
    </row>
    <row r="297" spans="1:10" ht="33" customHeight="1" x14ac:dyDescent="0.3">
      <c r="A297" s="11" t="s">
        <v>23</v>
      </c>
      <c r="B297" s="71"/>
      <c r="C297" s="97" t="s">
        <v>151</v>
      </c>
      <c r="D297" s="97"/>
      <c r="E297" s="67">
        <v>4413</v>
      </c>
      <c r="F297" s="143"/>
      <c r="G297" s="143"/>
      <c r="H297" s="143"/>
      <c r="I297" s="143"/>
      <c r="J297" s="143"/>
    </row>
    <row r="298" spans="1:10" ht="33" customHeight="1" x14ac:dyDescent="0.3">
      <c r="A298" s="11" t="s">
        <v>29</v>
      </c>
      <c r="B298" s="71"/>
      <c r="C298" s="97" t="s">
        <v>155</v>
      </c>
      <c r="D298" s="97"/>
      <c r="E298" s="67">
        <v>10297</v>
      </c>
      <c r="F298" s="143"/>
      <c r="G298" s="143"/>
      <c r="H298" s="143"/>
      <c r="I298" s="143"/>
      <c r="J298" s="143"/>
    </row>
    <row r="299" spans="1:10" ht="33" customHeight="1" x14ac:dyDescent="0.3">
      <c r="A299" s="11" t="s">
        <v>30</v>
      </c>
      <c r="B299" s="71"/>
      <c r="C299" s="97" t="s">
        <v>175</v>
      </c>
      <c r="D299" s="97"/>
      <c r="E299" s="67">
        <v>2942</v>
      </c>
      <c r="F299" s="143"/>
      <c r="G299" s="143"/>
      <c r="H299" s="143"/>
      <c r="I299" s="143"/>
      <c r="J299" s="143"/>
    </row>
    <row r="300" spans="1:10" ht="33" customHeight="1" x14ac:dyDescent="0.3">
      <c r="A300" s="11" t="s">
        <v>99</v>
      </c>
      <c r="B300" s="71"/>
      <c r="C300" s="97" t="s">
        <v>209</v>
      </c>
      <c r="D300" s="97"/>
      <c r="E300" s="67">
        <v>1471</v>
      </c>
      <c r="F300" s="143"/>
      <c r="G300" s="143"/>
      <c r="H300" s="143"/>
      <c r="I300" s="143"/>
      <c r="J300" s="143"/>
    </row>
    <row r="301" spans="1:10" ht="33" customHeight="1" x14ac:dyDescent="0.3">
      <c r="A301" s="11" t="s">
        <v>32</v>
      </c>
      <c r="B301" s="71"/>
      <c r="C301" s="97" t="s">
        <v>208</v>
      </c>
      <c r="D301" s="97"/>
      <c r="E301" s="67">
        <v>2942</v>
      </c>
      <c r="F301" s="143"/>
      <c r="G301" s="143"/>
      <c r="H301" s="143"/>
      <c r="I301" s="143"/>
      <c r="J301" s="143"/>
    </row>
    <row r="302" spans="1:10" ht="33" customHeight="1" x14ac:dyDescent="0.3">
      <c r="A302" s="11" t="s">
        <v>43</v>
      </c>
      <c r="B302" s="71"/>
      <c r="C302" s="97" t="s">
        <v>139</v>
      </c>
      <c r="D302" s="97"/>
      <c r="E302" s="67">
        <v>7355</v>
      </c>
      <c r="F302" s="143"/>
      <c r="G302" s="143"/>
      <c r="H302" s="143"/>
      <c r="I302" s="143"/>
      <c r="J302" s="143"/>
    </row>
    <row r="303" spans="1:10" ht="33" customHeight="1" x14ac:dyDescent="0.3">
      <c r="A303" s="11" t="s">
        <v>26</v>
      </c>
      <c r="B303" s="71"/>
      <c r="C303" s="97" t="s">
        <v>133</v>
      </c>
      <c r="D303" s="97"/>
      <c r="E303" s="67">
        <v>7355</v>
      </c>
      <c r="F303" s="143"/>
      <c r="G303" s="143"/>
      <c r="H303" s="143"/>
      <c r="I303" s="143"/>
      <c r="J303" s="143"/>
    </row>
    <row r="304" spans="1:10" ht="33" customHeight="1" x14ac:dyDescent="0.3">
      <c r="A304" s="11" t="s">
        <v>24</v>
      </c>
      <c r="B304" s="71"/>
      <c r="C304" s="97" t="s">
        <v>152</v>
      </c>
      <c r="D304" s="97"/>
      <c r="E304" s="67">
        <v>1471</v>
      </c>
      <c r="F304" s="143"/>
      <c r="G304" s="143"/>
      <c r="H304" s="143"/>
      <c r="I304" s="143"/>
      <c r="J304" s="143"/>
    </row>
    <row r="305" spans="1:10" ht="33" customHeight="1" x14ac:dyDescent="0.3">
      <c r="A305" s="11" t="s">
        <v>104</v>
      </c>
      <c r="B305" s="71"/>
      <c r="C305" s="97" t="s">
        <v>105</v>
      </c>
      <c r="D305" s="97"/>
      <c r="E305" s="67">
        <v>7355</v>
      </c>
      <c r="F305" s="143"/>
      <c r="G305" s="143"/>
      <c r="H305" s="143"/>
      <c r="I305" s="143"/>
      <c r="J305" s="143"/>
    </row>
    <row r="306" spans="1:10" ht="33" customHeight="1" x14ac:dyDescent="0.3">
      <c r="A306" s="11" t="s">
        <v>10</v>
      </c>
      <c r="B306" s="71"/>
      <c r="C306" s="97" t="s">
        <v>134</v>
      </c>
      <c r="D306" s="97"/>
      <c r="E306" s="67">
        <v>1471</v>
      </c>
      <c r="F306" s="143"/>
      <c r="G306" s="143"/>
      <c r="H306" s="143"/>
      <c r="I306" s="143"/>
      <c r="J306" s="143"/>
    </row>
    <row r="307" spans="1:10" ht="33" customHeight="1" x14ac:dyDescent="0.3">
      <c r="A307" s="11" t="s">
        <v>11</v>
      </c>
      <c r="B307" s="71"/>
      <c r="C307" s="97" t="s">
        <v>176</v>
      </c>
      <c r="D307" s="97"/>
      <c r="E307" s="67">
        <v>14710</v>
      </c>
      <c r="F307" s="143"/>
      <c r="G307" s="143"/>
      <c r="H307" s="143"/>
      <c r="I307" s="143"/>
      <c r="J307" s="143"/>
    </row>
    <row r="308" spans="1:10" ht="33" customHeight="1" x14ac:dyDescent="0.3">
      <c r="A308" s="11" t="s">
        <v>12</v>
      </c>
      <c r="B308" s="71"/>
      <c r="C308" s="97" t="s">
        <v>135</v>
      </c>
      <c r="D308" s="97"/>
      <c r="E308" s="67">
        <v>2942</v>
      </c>
      <c r="F308" s="143"/>
      <c r="G308" s="143"/>
      <c r="H308" s="143"/>
      <c r="I308" s="143"/>
      <c r="J308" s="143"/>
    </row>
    <row r="309" spans="1:10" ht="33" customHeight="1" x14ac:dyDescent="0.3">
      <c r="A309" s="11" t="s">
        <v>73</v>
      </c>
      <c r="B309" s="71"/>
      <c r="C309" s="97" t="s">
        <v>74</v>
      </c>
      <c r="D309" s="97"/>
      <c r="E309" s="67">
        <v>11768</v>
      </c>
      <c r="F309" s="143"/>
      <c r="G309" s="143"/>
      <c r="H309" s="143"/>
      <c r="I309" s="143"/>
      <c r="J309" s="143"/>
    </row>
    <row r="310" spans="1:10" ht="33" customHeight="1" x14ac:dyDescent="0.3">
      <c r="A310" s="11" t="s">
        <v>77</v>
      </c>
      <c r="B310" s="71"/>
      <c r="C310" s="97" t="s">
        <v>78</v>
      </c>
      <c r="D310" s="97"/>
      <c r="E310" s="67">
        <v>17652</v>
      </c>
      <c r="F310" s="143"/>
      <c r="G310" s="143"/>
      <c r="H310" s="143"/>
      <c r="I310" s="143"/>
      <c r="J310" s="143"/>
    </row>
    <row r="311" spans="1:10" ht="33" customHeight="1" x14ac:dyDescent="0.3">
      <c r="A311" s="11" t="s">
        <v>53</v>
      </c>
      <c r="B311" s="71"/>
      <c r="C311" s="97" t="s">
        <v>172</v>
      </c>
      <c r="D311" s="97"/>
      <c r="E311" s="67">
        <v>23536</v>
      </c>
      <c r="F311" s="143"/>
      <c r="G311" s="143"/>
      <c r="H311" s="143"/>
      <c r="I311" s="143"/>
      <c r="J311" s="143"/>
    </row>
    <row r="312" spans="1:10" ht="33" customHeight="1" x14ac:dyDescent="0.3">
      <c r="A312" s="11" t="s">
        <v>52</v>
      </c>
      <c r="B312" s="71"/>
      <c r="C312" s="97" t="s">
        <v>171</v>
      </c>
      <c r="D312" s="97"/>
      <c r="E312" s="67">
        <v>17652</v>
      </c>
      <c r="F312" s="143"/>
      <c r="G312" s="143"/>
      <c r="H312" s="143"/>
      <c r="I312" s="143"/>
      <c r="J312" s="143"/>
    </row>
    <row r="313" spans="1:10" ht="33" customHeight="1" x14ac:dyDescent="0.3">
      <c r="A313" s="11" t="s">
        <v>34</v>
      </c>
      <c r="B313" s="71"/>
      <c r="C313" s="97" t="s">
        <v>158</v>
      </c>
      <c r="D313" s="97"/>
      <c r="E313" s="67">
        <v>22065</v>
      </c>
      <c r="F313" s="143"/>
      <c r="G313" s="143"/>
      <c r="H313" s="143"/>
      <c r="I313" s="143"/>
      <c r="J313" s="143"/>
    </row>
    <row r="314" spans="1:10" ht="33" customHeight="1" x14ac:dyDescent="0.3">
      <c r="A314" s="11" t="s">
        <v>33</v>
      </c>
      <c r="B314" s="71"/>
      <c r="C314" s="97" t="s">
        <v>174</v>
      </c>
      <c r="D314" s="97"/>
      <c r="E314" s="67">
        <v>2942</v>
      </c>
      <c r="F314" s="143"/>
      <c r="G314" s="143"/>
      <c r="H314" s="143"/>
      <c r="I314" s="143"/>
      <c r="J314" s="143"/>
    </row>
    <row r="315" spans="1:10" ht="33" customHeight="1" x14ac:dyDescent="0.3">
      <c r="A315" s="11" t="s">
        <v>110</v>
      </c>
      <c r="B315" s="71"/>
      <c r="C315" s="97" t="s">
        <v>111</v>
      </c>
      <c r="D315" s="97"/>
      <c r="E315" s="67">
        <v>10297</v>
      </c>
      <c r="F315" s="143"/>
      <c r="G315" s="143"/>
      <c r="H315" s="143"/>
      <c r="I315" s="143"/>
      <c r="J315" s="143"/>
    </row>
    <row r="316" spans="1:10" ht="33" customHeight="1" x14ac:dyDescent="0.3">
      <c r="A316" s="11" t="s">
        <v>46</v>
      </c>
      <c r="B316" s="71"/>
      <c r="C316" s="97" t="s">
        <v>144</v>
      </c>
      <c r="D316" s="97"/>
      <c r="E316" s="67">
        <v>16181</v>
      </c>
      <c r="F316" s="143"/>
      <c r="G316" s="143"/>
      <c r="H316" s="143"/>
      <c r="I316" s="143"/>
      <c r="J316" s="143"/>
    </row>
    <row r="317" spans="1:10" ht="33" customHeight="1" x14ac:dyDescent="0.3">
      <c r="A317" s="11" t="s">
        <v>112</v>
      </c>
      <c r="B317" s="71"/>
      <c r="C317" s="97" t="s">
        <v>113</v>
      </c>
      <c r="D317" s="97"/>
      <c r="E317" s="67">
        <v>11768</v>
      </c>
      <c r="F317" s="143"/>
      <c r="G317" s="143"/>
      <c r="H317" s="143"/>
      <c r="I317" s="143"/>
      <c r="J317" s="143"/>
    </row>
    <row r="318" spans="1:10" ht="33" customHeight="1" x14ac:dyDescent="0.3">
      <c r="A318" s="11" t="s">
        <v>114</v>
      </c>
      <c r="B318" s="71"/>
      <c r="C318" s="97" t="s">
        <v>115</v>
      </c>
      <c r="D318" s="97"/>
      <c r="E318" s="67">
        <v>38246</v>
      </c>
      <c r="F318" s="143"/>
      <c r="G318" s="143"/>
      <c r="H318" s="143"/>
      <c r="I318" s="143"/>
      <c r="J318" s="143"/>
    </row>
    <row r="319" spans="1:10" ht="33" customHeight="1" x14ac:dyDescent="0.3">
      <c r="A319" s="11" t="s">
        <v>35</v>
      </c>
      <c r="B319" s="71"/>
      <c r="C319" s="97" t="s">
        <v>159</v>
      </c>
      <c r="D319" s="97"/>
      <c r="E319" s="67">
        <v>8826</v>
      </c>
      <c r="F319" s="143"/>
      <c r="G319" s="143"/>
      <c r="H319" s="143"/>
      <c r="I319" s="143"/>
      <c r="J319" s="143"/>
    </row>
    <row r="320" spans="1:10" ht="33" customHeight="1" x14ac:dyDescent="0.3">
      <c r="A320" s="11" t="s">
        <v>19</v>
      </c>
      <c r="B320" s="71"/>
      <c r="C320" s="97" t="s">
        <v>145</v>
      </c>
      <c r="D320" s="97"/>
      <c r="E320" s="67">
        <v>1471</v>
      </c>
      <c r="F320" s="143"/>
      <c r="G320" s="143"/>
      <c r="H320" s="143"/>
      <c r="I320" s="143"/>
      <c r="J320" s="143"/>
    </row>
    <row r="321" spans="1:10" ht="33" customHeight="1" x14ac:dyDescent="0.3">
      <c r="A321" s="11" t="s">
        <v>50</v>
      </c>
      <c r="B321" s="71"/>
      <c r="C321" s="97" t="s">
        <v>168</v>
      </c>
      <c r="D321" s="97"/>
      <c r="E321" s="67">
        <v>7355</v>
      </c>
      <c r="F321" s="143"/>
      <c r="G321" s="143"/>
      <c r="H321" s="143"/>
      <c r="I321" s="143"/>
      <c r="J321" s="143"/>
    </row>
    <row r="322" spans="1:10" ht="33" customHeight="1" x14ac:dyDescent="0.3">
      <c r="A322" s="11" t="s">
        <v>6</v>
      </c>
      <c r="B322" s="71"/>
      <c r="C322" s="97" t="s">
        <v>128</v>
      </c>
      <c r="D322" s="97"/>
      <c r="E322" s="67">
        <v>1471</v>
      </c>
      <c r="F322" s="143"/>
      <c r="G322" s="143"/>
      <c r="H322" s="143"/>
      <c r="I322" s="143"/>
      <c r="J322" s="143"/>
    </row>
    <row r="323" spans="1:10" ht="33" customHeight="1" x14ac:dyDescent="0.3">
      <c r="A323" s="7" t="s">
        <v>36</v>
      </c>
      <c r="B323" s="8"/>
      <c r="C323" s="128" t="s">
        <v>161</v>
      </c>
      <c r="D323" s="128"/>
      <c r="E323" s="16">
        <v>1471</v>
      </c>
      <c r="F323" s="157"/>
      <c r="G323" s="157"/>
      <c r="H323" s="157"/>
      <c r="I323" s="157"/>
      <c r="J323" s="157"/>
    </row>
    <row r="324" spans="1:10" s="20" customFormat="1" ht="33" customHeight="1" x14ac:dyDescent="0.3">
      <c r="A324" s="11" t="s">
        <v>118</v>
      </c>
      <c r="B324" s="71"/>
      <c r="C324" s="97" t="s">
        <v>119</v>
      </c>
      <c r="D324" s="97"/>
      <c r="E324" s="67">
        <v>7355</v>
      </c>
      <c r="F324" s="143"/>
      <c r="G324" s="143"/>
      <c r="H324" s="143"/>
      <c r="I324" s="143"/>
      <c r="J324" s="143"/>
    </row>
    <row r="325" spans="1:10" s="20" customFormat="1" ht="33" customHeight="1" x14ac:dyDescent="0.3">
      <c r="A325" s="11" t="s">
        <v>15</v>
      </c>
      <c r="B325" s="71"/>
      <c r="C325" s="97" t="s">
        <v>138</v>
      </c>
      <c r="D325" s="97"/>
      <c r="E325" s="67">
        <v>27949</v>
      </c>
      <c r="F325" s="143"/>
      <c r="G325" s="143"/>
      <c r="H325" s="143"/>
      <c r="I325" s="143"/>
      <c r="J325" s="143"/>
    </row>
    <row r="326" spans="1:10" s="20" customFormat="1" ht="33" customHeight="1" x14ac:dyDescent="0.3">
      <c r="A326" s="11" t="s">
        <v>13</v>
      </c>
      <c r="B326" s="71"/>
      <c r="C326" s="97" t="s">
        <v>136</v>
      </c>
      <c r="D326" s="97"/>
      <c r="E326" s="67">
        <v>29420</v>
      </c>
      <c r="F326" s="143"/>
      <c r="G326" s="143"/>
      <c r="H326" s="143"/>
      <c r="I326" s="143"/>
      <c r="J326" s="143"/>
    </row>
    <row r="327" spans="1:10" s="20" customFormat="1" ht="33" customHeight="1" x14ac:dyDescent="0.3">
      <c r="A327" s="11" t="s">
        <v>44</v>
      </c>
      <c r="B327" s="71"/>
      <c r="C327" s="97" t="s">
        <v>146</v>
      </c>
      <c r="D327" s="97"/>
      <c r="E327" s="67">
        <v>26478</v>
      </c>
      <c r="F327" s="143"/>
      <c r="G327" s="143"/>
      <c r="H327" s="143"/>
      <c r="I327" s="143"/>
      <c r="J327" s="143"/>
    </row>
    <row r="328" spans="1:10" s="20" customFormat="1" ht="33" customHeight="1" x14ac:dyDescent="0.3">
      <c r="A328" s="11" t="s">
        <v>41</v>
      </c>
      <c r="B328" s="71"/>
      <c r="C328" s="97" t="s">
        <v>147</v>
      </c>
      <c r="D328" s="97"/>
      <c r="E328" s="67">
        <v>17652</v>
      </c>
      <c r="F328" s="143"/>
      <c r="G328" s="143"/>
      <c r="H328" s="143"/>
      <c r="I328" s="143"/>
      <c r="J328" s="143"/>
    </row>
    <row r="329" spans="1:10" s="20" customFormat="1" ht="33" customHeight="1" x14ac:dyDescent="0.3">
      <c r="A329" s="11" t="s">
        <v>37</v>
      </c>
      <c r="B329" s="71"/>
      <c r="C329" s="97" t="s">
        <v>157</v>
      </c>
      <c r="D329" s="97"/>
      <c r="E329" s="67">
        <v>2942</v>
      </c>
      <c r="F329" s="143"/>
      <c r="G329" s="143"/>
      <c r="H329" s="143"/>
      <c r="I329" s="143"/>
      <c r="J329" s="143"/>
    </row>
    <row r="330" spans="1:10" s="20" customFormat="1" ht="33" customHeight="1" x14ac:dyDescent="0.3">
      <c r="A330" s="11" t="s">
        <v>55</v>
      </c>
      <c r="B330" s="71"/>
      <c r="C330" s="97" t="s">
        <v>167</v>
      </c>
      <c r="D330" s="97"/>
      <c r="E330" s="67">
        <v>1471</v>
      </c>
      <c r="F330" s="143"/>
      <c r="G330" s="143"/>
      <c r="H330" s="143"/>
      <c r="I330" s="143"/>
      <c r="J330" s="143"/>
    </row>
    <row r="331" spans="1:10" s="20" customFormat="1" ht="33" customHeight="1" x14ac:dyDescent="0.3">
      <c r="A331" s="11" t="s">
        <v>20</v>
      </c>
      <c r="B331" s="71"/>
      <c r="C331" s="97" t="s">
        <v>148</v>
      </c>
      <c r="D331" s="97"/>
      <c r="E331" s="67">
        <v>13239</v>
      </c>
      <c r="F331" s="143"/>
      <c r="G331" s="143"/>
      <c r="H331" s="143"/>
      <c r="I331" s="143"/>
      <c r="J331" s="143"/>
    </row>
    <row r="332" spans="1:10" s="20" customFormat="1" ht="33" customHeight="1" x14ac:dyDescent="0.3">
      <c r="A332" s="11" t="s">
        <v>38</v>
      </c>
      <c r="B332" s="71"/>
      <c r="C332" s="97" t="s">
        <v>156</v>
      </c>
      <c r="D332" s="97"/>
      <c r="E332" s="67">
        <v>8826</v>
      </c>
      <c r="F332" s="143"/>
      <c r="G332" s="143"/>
      <c r="H332" s="143"/>
      <c r="I332" s="143"/>
      <c r="J332" s="143"/>
    </row>
    <row r="333" spans="1:10" s="20" customFormat="1" ht="33" customHeight="1" x14ac:dyDescent="0.3">
      <c r="A333" s="11" t="s">
        <v>79</v>
      </c>
      <c r="B333" s="71"/>
      <c r="C333" s="97" t="s">
        <v>80</v>
      </c>
      <c r="D333" s="97"/>
      <c r="E333" s="67">
        <v>16181</v>
      </c>
      <c r="F333" s="143"/>
      <c r="G333" s="143"/>
      <c r="H333" s="143"/>
      <c r="I333" s="143"/>
      <c r="J333" s="143"/>
    </row>
    <row r="334" spans="1:10" s="20" customFormat="1" ht="33" customHeight="1" x14ac:dyDescent="0.3">
      <c r="A334" s="11" t="s">
        <v>75</v>
      </c>
      <c r="B334" s="71"/>
      <c r="C334" s="97" t="s">
        <v>76</v>
      </c>
      <c r="D334" s="97"/>
      <c r="E334" s="67">
        <v>4413</v>
      </c>
      <c r="F334" s="143"/>
      <c r="G334" s="143"/>
      <c r="H334" s="143"/>
      <c r="I334" s="143"/>
      <c r="J334" s="143"/>
    </row>
    <row r="335" spans="1:10" s="20" customFormat="1" ht="33" customHeight="1" x14ac:dyDescent="0.3">
      <c r="A335" s="11" t="s">
        <v>42</v>
      </c>
      <c r="B335" s="71"/>
      <c r="C335" s="97" t="s">
        <v>164</v>
      </c>
      <c r="D335" s="97"/>
      <c r="E335" s="67">
        <v>7355</v>
      </c>
      <c r="F335" s="143"/>
      <c r="G335" s="143"/>
      <c r="H335" s="143"/>
      <c r="I335" s="143"/>
      <c r="J335" s="143"/>
    </row>
    <row r="336" spans="1:10" s="20" customFormat="1" ht="33" customHeight="1" x14ac:dyDescent="0.3">
      <c r="A336" s="11" t="s">
        <v>45</v>
      </c>
      <c r="B336" s="71"/>
      <c r="C336" s="97" t="s">
        <v>165</v>
      </c>
      <c r="D336" s="97"/>
      <c r="E336" s="67">
        <v>2942</v>
      </c>
      <c r="F336" s="143"/>
      <c r="G336" s="143"/>
      <c r="H336" s="143"/>
      <c r="I336" s="143"/>
      <c r="J336" s="143"/>
    </row>
    <row r="337" spans="1:10" s="21" customFormat="1" ht="33" customHeight="1" x14ac:dyDescent="0.3">
      <c r="A337" s="129" t="s">
        <v>177</v>
      </c>
      <c r="B337" s="129"/>
      <c r="C337" s="129"/>
      <c r="D337" s="129"/>
      <c r="E337" s="9">
        <f>SUM(E272:E336)</f>
        <v>684015</v>
      </c>
      <c r="F337" s="135"/>
      <c r="G337" s="135"/>
      <c r="H337" s="135"/>
      <c r="I337" s="135"/>
      <c r="J337" s="135"/>
    </row>
    <row r="338" spans="1:10" ht="59.25" customHeight="1" x14ac:dyDescent="0.3">
      <c r="A338" s="19" t="s">
        <v>280</v>
      </c>
      <c r="B338" s="68">
        <v>9800</v>
      </c>
      <c r="C338" s="100" t="s">
        <v>257</v>
      </c>
      <c r="D338" s="100"/>
      <c r="E338" s="9">
        <f>E339</f>
        <v>12020000</v>
      </c>
      <c r="F338" s="135"/>
      <c r="G338" s="135"/>
      <c r="H338" s="135"/>
      <c r="I338" s="135"/>
      <c r="J338" s="135"/>
    </row>
    <row r="339" spans="1:10" s="10" customFormat="1" ht="33" customHeight="1" x14ac:dyDescent="0.3">
      <c r="A339" s="54">
        <v>99000000000</v>
      </c>
      <c r="B339" s="54"/>
      <c r="C339" s="112" t="s">
        <v>2</v>
      </c>
      <c r="D339" s="113"/>
      <c r="E339" s="67">
        <f>370000+11650000</f>
        <v>12020000</v>
      </c>
      <c r="F339" s="140"/>
      <c r="G339" s="141"/>
      <c r="H339" s="141"/>
      <c r="I339" s="141"/>
      <c r="J339" s="142"/>
    </row>
    <row r="340" spans="1:10" ht="59.25" customHeight="1" x14ac:dyDescent="0.3">
      <c r="A340" s="19" t="s">
        <v>280</v>
      </c>
      <c r="B340" s="68">
        <v>9800</v>
      </c>
      <c r="C340" s="100" t="s">
        <v>257</v>
      </c>
      <c r="D340" s="100"/>
      <c r="E340" s="9">
        <f>E341</f>
        <v>600000</v>
      </c>
      <c r="F340" s="135" t="s">
        <v>291</v>
      </c>
      <c r="G340" s="135"/>
      <c r="H340" s="135"/>
      <c r="I340" s="135"/>
      <c r="J340" s="135"/>
    </row>
    <row r="341" spans="1:10" s="10" customFormat="1" ht="33" customHeight="1" x14ac:dyDescent="0.3">
      <c r="A341" s="54">
        <v>99000000000</v>
      </c>
      <c r="B341" s="54"/>
      <c r="C341" s="112" t="s">
        <v>2</v>
      </c>
      <c r="D341" s="113"/>
      <c r="E341" s="67">
        <v>600000</v>
      </c>
      <c r="F341" s="140"/>
      <c r="G341" s="141"/>
      <c r="H341" s="141"/>
      <c r="I341" s="141"/>
      <c r="J341" s="142"/>
    </row>
    <row r="342" spans="1:10" ht="55.5" customHeight="1" x14ac:dyDescent="0.3">
      <c r="A342" s="19" t="s">
        <v>280</v>
      </c>
      <c r="B342" s="68">
        <v>9800</v>
      </c>
      <c r="C342" s="100" t="s">
        <v>257</v>
      </c>
      <c r="D342" s="100"/>
      <c r="E342" s="9">
        <f>E343</f>
        <v>3100000</v>
      </c>
      <c r="F342" s="135"/>
      <c r="G342" s="135"/>
      <c r="H342" s="135"/>
      <c r="I342" s="135"/>
      <c r="J342" s="135"/>
    </row>
    <row r="343" spans="1:10" s="10" customFormat="1" ht="33" customHeight="1" x14ac:dyDescent="0.3">
      <c r="A343" s="54">
        <v>99000000000</v>
      </c>
      <c r="B343" s="54"/>
      <c r="C343" s="112" t="s">
        <v>2</v>
      </c>
      <c r="D343" s="113"/>
      <c r="E343" s="67">
        <v>3100000</v>
      </c>
      <c r="F343" s="140"/>
      <c r="G343" s="141"/>
      <c r="H343" s="141"/>
      <c r="I343" s="141"/>
      <c r="J343" s="142"/>
    </row>
    <row r="344" spans="1:10" ht="59.25" customHeight="1" x14ac:dyDescent="0.3">
      <c r="A344" s="19" t="s">
        <v>279</v>
      </c>
      <c r="B344" s="68">
        <v>9800</v>
      </c>
      <c r="C344" s="100" t="s">
        <v>257</v>
      </c>
      <c r="D344" s="100"/>
      <c r="E344" s="9">
        <f>E345</f>
        <v>767000</v>
      </c>
      <c r="F344" s="135"/>
      <c r="G344" s="135"/>
      <c r="H344" s="135"/>
      <c r="I344" s="135"/>
      <c r="J344" s="135"/>
    </row>
    <row r="345" spans="1:10" s="10" customFormat="1" ht="33" customHeight="1" x14ac:dyDescent="0.3">
      <c r="A345" s="54">
        <v>99000000000</v>
      </c>
      <c r="B345" s="54"/>
      <c r="C345" s="112" t="s">
        <v>2</v>
      </c>
      <c r="D345" s="113"/>
      <c r="E345" s="67">
        <f>600000+167000</f>
        <v>767000</v>
      </c>
      <c r="F345" s="140"/>
      <c r="G345" s="141"/>
      <c r="H345" s="141"/>
      <c r="I345" s="141"/>
      <c r="J345" s="142"/>
    </row>
    <row r="346" spans="1:10" ht="59.25" customHeight="1" x14ac:dyDescent="0.3">
      <c r="A346" s="19" t="s">
        <v>279</v>
      </c>
      <c r="B346" s="68">
        <v>9800</v>
      </c>
      <c r="C346" s="100" t="s">
        <v>257</v>
      </c>
      <c r="D346" s="100"/>
      <c r="E346" s="9">
        <f>E347</f>
        <v>440000</v>
      </c>
      <c r="F346" s="135" t="s">
        <v>292</v>
      </c>
      <c r="G346" s="135"/>
      <c r="H346" s="135"/>
      <c r="I346" s="135"/>
      <c r="J346" s="135"/>
    </row>
    <row r="347" spans="1:10" s="10" customFormat="1" ht="33" customHeight="1" x14ac:dyDescent="0.3">
      <c r="A347" s="54">
        <v>99000000000</v>
      </c>
      <c r="B347" s="54"/>
      <c r="C347" s="112" t="s">
        <v>2</v>
      </c>
      <c r="D347" s="113"/>
      <c r="E347" s="67">
        <v>440000</v>
      </c>
      <c r="F347" s="140"/>
      <c r="G347" s="141"/>
      <c r="H347" s="141"/>
      <c r="I347" s="141"/>
      <c r="J347" s="142"/>
    </row>
    <row r="348" spans="1:10" ht="59.25" customHeight="1" x14ac:dyDescent="0.3">
      <c r="A348" s="19" t="s">
        <v>282</v>
      </c>
      <c r="B348" s="68">
        <v>9800</v>
      </c>
      <c r="C348" s="100" t="s">
        <v>257</v>
      </c>
      <c r="D348" s="100"/>
      <c r="E348" s="9">
        <f>E349</f>
        <v>2530263</v>
      </c>
      <c r="F348" s="135" t="s">
        <v>293</v>
      </c>
      <c r="G348" s="135"/>
      <c r="H348" s="135"/>
      <c r="I348" s="135"/>
      <c r="J348" s="135"/>
    </row>
    <row r="349" spans="1:10" s="10" customFormat="1" ht="33" customHeight="1" x14ac:dyDescent="0.3">
      <c r="A349" s="54">
        <v>99000000000</v>
      </c>
      <c r="B349" s="54"/>
      <c r="C349" s="112" t="s">
        <v>2</v>
      </c>
      <c r="D349" s="113"/>
      <c r="E349" s="67">
        <f>F349</f>
        <v>2530263</v>
      </c>
      <c r="F349" s="140">
        <v>2530263</v>
      </c>
      <c r="G349" s="141"/>
      <c r="H349" s="141"/>
      <c r="I349" s="141"/>
      <c r="J349" s="142"/>
    </row>
    <row r="350" spans="1:10" s="21" customFormat="1" ht="33" customHeight="1" x14ac:dyDescent="0.3">
      <c r="A350" s="172" t="s">
        <v>241</v>
      </c>
      <c r="B350" s="172"/>
      <c r="C350" s="172"/>
      <c r="D350" s="172"/>
      <c r="E350" s="172"/>
      <c r="F350" s="172"/>
      <c r="G350" s="172"/>
      <c r="H350" s="172"/>
      <c r="I350" s="172"/>
      <c r="J350" s="172"/>
    </row>
    <row r="351" spans="1:10" ht="85.5" customHeight="1" x14ac:dyDescent="0.3">
      <c r="A351" s="19" t="s">
        <v>243</v>
      </c>
      <c r="B351" s="68">
        <v>9770</v>
      </c>
      <c r="C351" s="100" t="s">
        <v>242</v>
      </c>
      <c r="D351" s="100"/>
      <c r="E351" s="9">
        <f>E358+E368</f>
        <v>194903722</v>
      </c>
      <c r="F351" s="135" t="s">
        <v>244</v>
      </c>
      <c r="G351" s="135"/>
      <c r="H351" s="135"/>
      <c r="I351" s="135"/>
      <c r="J351" s="135"/>
    </row>
    <row r="352" spans="1:10" ht="37.5" customHeight="1" x14ac:dyDescent="0.3">
      <c r="A352" s="11" t="s">
        <v>91</v>
      </c>
      <c r="B352" s="71"/>
      <c r="C352" s="97" t="s">
        <v>92</v>
      </c>
      <c r="D352" s="97"/>
      <c r="E352" s="67">
        <f t="shared" ref="E352:E357" si="9">F352</f>
        <v>117999855</v>
      </c>
      <c r="F352" s="156">
        <f>7575171+110424684</f>
        <v>117999855</v>
      </c>
      <c r="G352" s="156"/>
      <c r="H352" s="156"/>
      <c r="I352" s="156"/>
      <c r="J352" s="156"/>
    </row>
    <row r="353" spans="1:10" ht="37.5" customHeight="1" x14ac:dyDescent="0.3">
      <c r="A353" s="11" t="s">
        <v>81</v>
      </c>
      <c r="B353" s="71"/>
      <c r="C353" s="101" t="s">
        <v>82</v>
      </c>
      <c r="D353" s="102"/>
      <c r="E353" s="67">
        <f t="shared" si="9"/>
        <v>3100000</v>
      </c>
      <c r="F353" s="156">
        <v>3100000</v>
      </c>
      <c r="G353" s="156"/>
      <c r="H353" s="156"/>
      <c r="I353" s="156"/>
      <c r="J353" s="156"/>
    </row>
    <row r="354" spans="1:10" ht="37.5" customHeight="1" x14ac:dyDescent="0.3">
      <c r="A354" s="11" t="s">
        <v>93</v>
      </c>
      <c r="B354" s="71"/>
      <c r="C354" s="101" t="s">
        <v>277</v>
      </c>
      <c r="D354" s="102"/>
      <c r="E354" s="67">
        <f t="shared" si="9"/>
        <v>3890000</v>
      </c>
      <c r="F354" s="140">
        <v>3890000</v>
      </c>
      <c r="G354" s="141"/>
      <c r="H354" s="141"/>
      <c r="I354" s="141"/>
      <c r="J354" s="142"/>
    </row>
    <row r="355" spans="1:10" ht="37.5" customHeight="1" x14ac:dyDescent="0.3">
      <c r="A355" s="11" t="s">
        <v>60</v>
      </c>
      <c r="B355" s="71"/>
      <c r="C355" s="97" t="s">
        <v>122</v>
      </c>
      <c r="D355" s="97"/>
      <c r="E355" s="67">
        <f t="shared" si="9"/>
        <v>15245000</v>
      </c>
      <c r="F355" s="156">
        <v>15245000</v>
      </c>
      <c r="G355" s="156"/>
      <c r="H355" s="156"/>
      <c r="I355" s="156"/>
      <c r="J355" s="156"/>
    </row>
    <row r="356" spans="1:10" s="10" customFormat="1" ht="33" customHeight="1" x14ac:dyDescent="0.3">
      <c r="A356" s="11" t="s">
        <v>102</v>
      </c>
      <c r="B356" s="71"/>
      <c r="C356" s="97" t="s">
        <v>103</v>
      </c>
      <c r="D356" s="97"/>
      <c r="E356" s="67">
        <f t="shared" si="9"/>
        <v>19221720</v>
      </c>
      <c r="F356" s="156">
        <v>19221720</v>
      </c>
      <c r="G356" s="156"/>
      <c r="H356" s="156"/>
      <c r="I356" s="156"/>
      <c r="J356" s="156"/>
    </row>
    <row r="357" spans="1:10" s="10" customFormat="1" ht="33" customHeight="1" x14ac:dyDescent="0.3">
      <c r="A357" s="11" t="s">
        <v>61</v>
      </c>
      <c r="B357" s="71"/>
      <c r="C357" s="97" t="s">
        <v>278</v>
      </c>
      <c r="D357" s="97"/>
      <c r="E357" s="67">
        <f t="shared" si="9"/>
        <v>990276</v>
      </c>
      <c r="F357" s="140">
        <v>990276</v>
      </c>
      <c r="G357" s="141"/>
      <c r="H357" s="141"/>
      <c r="I357" s="141"/>
      <c r="J357" s="142"/>
    </row>
    <row r="358" spans="1:10" s="10" customFormat="1" ht="33" customHeight="1" x14ac:dyDescent="0.3">
      <c r="A358" s="129" t="s">
        <v>206</v>
      </c>
      <c r="B358" s="129"/>
      <c r="C358" s="129"/>
      <c r="D358" s="129"/>
      <c r="E358" s="9">
        <f>SUM(E352:E357)</f>
        <v>160446851</v>
      </c>
      <c r="F358" s="130">
        <f>SUM(F352:F357)</f>
        <v>160446851</v>
      </c>
      <c r="G358" s="131"/>
      <c r="H358" s="131"/>
      <c r="I358" s="131"/>
      <c r="J358" s="132"/>
    </row>
    <row r="359" spans="1:10" s="10" customFormat="1" ht="33" customHeight="1" x14ac:dyDescent="0.3">
      <c r="A359" s="11" t="s">
        <v>3</v>
      </c>
      <c r="B359" s="71"/>
      <c r="C359" s="97" t="s">
        <v>124</v>
      </c>
      <c r="D359" s="97"/>
      <c r="E359" s="67">
        <f t="shared" ref="E359:E367" si="10">F359</f>
        <v>3908961</v>
      </c>
      <c r="F359" s="156">
        <v>3908961</v>
      </c>
      <c r="G359" s="156"/>
      <c r="H359" s="156"/>
      <c r="I359" s="156"/>
      <c r="J359" s="156"/>
    </row>
    <row r="360" spans="1:10" s="10" customFormat="1" ht="33" customHeight="1" x14ac:dyDescent="0.3">
      <c r="A360" s="11" t="s">
        <v>57</v>
      </c>
      <c r="B360" s="71"/>
      <c r="C360" s="97" t="s">
        <v>154</v>
      </c>
      <c r="D360" s="97"/>
      <c r="E360" s="67">
        <f t="shared" si="10"/>
        <v>4047881</v>
      </c>
      <c r="F360" s="140">
        <f>3760759+287122</f>
        <v>4047881</v>
      </c>
      <c r="G360" s="141"/>
      <c r="H360" s="141"/>
      <c r="I360" s="141"/>
      <c r="J360" s="142"/>
    </row>
    <row r="361" spans="1:10" s="10" customFormat="1" ht="33" customHeight="1" x14ac:dyDescent="0.3">
      <c r="A361" s="11" t="s">
        <v>104</v>
      </c>
      <c r="B361" s="71"/>
      <c r="C361" s="97" t="s">
        <v>105</v>
      </c>
      <c r="D361" s="97"/>
      <c r="E361" s="67">
        <f t="shared" si="10"/>
        <v>4492709</v>
      </c>
      <c r="F361" s="156">
        <v>4492709</v>
      </c>
      <c r="G361" s="156"/>
      <c r="H361" s="156"/>
      <c r="I361" s="156"/>
      <c r="J361" s="156"/>
    </row>
    <row r="362" spans="1:10" s="10" customFormat="1" ht="33" customHeight="1" x14ac:dyDescent="0.3">
      <c r="A362" s="11" t="s">
        <v>46</v>
      </c>
      <c r="B362" s="71"/>
      <c r="C362" s="97" t="s">
        <v>144</v>
      </c>
      <c r="D362" s="97"/>
      <c r="E362" s="67">
        <f t="shared" si="10"/>
        <v>3961117</v>
      </c>
      <c r="F362" s="156">
        <v>3961117</v>
      </c>
      <c r="G362" s="156"/>
      <c r="H362" s="156"/>
      <c r="I362" s="156"/>
      <c r="J362" s="156"/>
    </row>
    <row r="363" spans="1:10" s="10" customFormat="1" ht="33" customHeight="1" x14ac:dyDescent="0.3">
      <c r="A363" s="11" t="s">
        <v>112</v>
      </c>
      <c r="B363" s="71"/>
      <c r="C363" s="101" t="s">
        <v>113</v>
      </c>
      <c r="D363" s="102"/>
      <c r="E363" s="67">
        <f t="shared" si="10"/>
        <v>4006497</v>
      </c>
      <c r="F363" s="156">
        <v>4006497</v>
      </c>
      <c r="G363" s="156"/>
      <c r="H363" s="156"/>
      <c r="I363" s="156"/>
      <c r="J363" s="156"/>
    </row>
    <row r="364" spans="1:10" s="10" customFormat="1" ht="33" customHeight="1" x14ac:dyDescent="0.3">
      <c r="A364" s="11" t="s">
        <v>114</v>
      </c>
      <c r="B364" s="71"/>
      <c r="C364" s="97" t="s">
        <v>115</v>
      </c>
      <c r="D364" s="97"/>
      <c r="E364" s="67">
        <f t="shared" si="10"/>
        <v>3988405</v>
      </c>
      <c r="F364" s="156">
        <v>3988405</v>
      </c>
      <c r="G364" s="156"/>
      <c r="H364" s="156"/>
      <c r="I364" s="156"/>
      <c r="J364" s="156"/>
    </row>
    <row r="365" spans="1:10" s="10" customFormat="1" ht="33" customHeight="1" x14ac:dyDescent="0.3">
      <c r="A365" s="11" t="s">
        <v>13</v>
      </c>
      <c r="B365" s="71"/>
      <c r="C365" s="97" t="s">
        <v>136</v>
      </c>
      <c r="D365" s="97"/>
      <c r="E365" s="67">
        <f t="shared" si="10"/>
        <v>3860356</v>
      </c>
      <c r="F365" s="156">
        <v>3860356</v>
      </c>
      <c r="G365" s="156"/>
      <c r="H365" s="156"/>
      <c r="I365" s="156"/>
      <c r="J365" s="156"/>
    </row>
    <row r="366" spans="1:10" s="10" customFormat="1" ht="33" customHeight="1" x14ac:dyDescent="0.3">
      <c r="A366" s="11" t="s">
        <v>41</v>
      </c>
      <c r="B366" s="71"/>
      <c r="C366" s="97" t="s">
        <v>147</v>
      </c>
      <c r="D366" s="97"/>
      <c r="E366" s="67">
        <f t="shared" si="10"/>
        <v>3136805</v>
      </c>
      <c r="F366" s="156">
        <v>3136805</v>
      </c>
      <c r="G366" s="156"/>
      <c r="H366" s="156"/>
      <c r="I366" s="156"/>
      <c r="J366" s="156"/>
    </row>
    <row r="367" spans="1:10" s="10" customFormat="1" ht="33" customHeight="1" x14ac:dyDescent="0.3">
      <c r="A367" s="11" t="s">
        <v>20</v>
      </c>
      <c r="B367" s="71"/>
      <c r="C367" s="97" t="s">
        <v>148</v>
      </c>
      <c r="D367" s="97"/>
      <c r="E367" s="67">
        <f t="shared" si="10"/>
        <v>3054140</v>
      </c>
      <c r="F367" s="156">
        <v>3054140</v>
      </c>
      <c r="G367" s="156"/>
      <c r="H367" s="156"/>
      <c r="I367" s="156"/>
      <c r="J367" s="156"/>
    </row>
    <row r="368" spans="1:10" s="10" customFormat="1" ht="33" customHeight="1" x14ac:dyDescent="0.3">
      <c r="A368" s="129" t="s">
        <v>177</v>
      </c>
      <c r="B368" s="129"/>
      <c r="C368" s="129"/>
      <c r="D368" s="129"/>
      <c r="E368" s="9">
        <f>SUM(E359:E367)</f>
        <v>34456871</v>
      </c>
      <c r="F368" s="130">
        <f t="shared" ref="F368" si="11">SUM(F359:F367)</f>
        <v>34456871</v>
      </c>
      <c r="G368" s="131"/>
      <c r="H368" s="131"/>
      <c r="I368" s="131"/>
      <c r="J368" s="132"/>
    </row>
    <row r="369" spans="1:13" ht="51" customHeight="1" x14ac:dyDescent="0.3">
      <c r="A369" s="19" t="s">
        <v>280</v>
      </c>
      <c r="B369" s="68">
        <v>9800</v>
      </c>
      <c r="C369" s="162" t="s">
        <v>257</v>
      </c>
      <c r="D369" s="163"/>
      <c r="E369" s="9">
        <f>E370</f>
        <v>2500000</v>
      </c>
      <c r="F369" s="144"/>
      <c r="G369" s="164"/>
      <c r="H369" s="164"/>
      <c r="I369" s="164"/>
      <c r="J369" s="145"/>
    </row>
    <row r="370" spans="1:13" s="10" customFormat="1" ht="33" customHeight="1" x14ac:dyDescent="0.3">
      <c r="A370" s="54">
        <v>99000000000</v>
      </c>
      <c r="B370" s="54"/>
      <c r="C370" s="112" t="s">
        <v>2</v>
      </c>
      <c r="D370" s="113"/>
      <c r="E370" s="67">
        <v>2500000</v>
      </c>
      <c r="F370" s="140"/>
      <c r="G370" s="141"/>
      <c r="H370" s="141"/>
      <c r="I370" s="141"/>
      <c r="J370" s="142"/>
    </row>
    <row r="371" spans="1:13" ht="59.25" customHeight="1" x14ac:dyDescent="0.3">
      <c r="A371" s="19" t="s">
        <v>256</v>
      </c>
      <c r="B371" s="68">
        <v>9800</v>
      </c>
      <c r="C371" s="100" t="s">
        <v>257</v>
      </c>
      <c r="D371" s="100"/>
      <c r="E371" s="9">
        <f>E372</f>
        <v>5968560</v>
      </c>
      <c r="F371" s="135" t="s">
        <v>258</v>
      </c>
      <c r="G371" s="135"/>
      <c r="H371" s="135"/>
      <c r="I371" s="135"/>
      <c r="J371" s="135"/>
    </row>
    <row r="372" spans="1:13" s="10" customFormat="1" ht="33" customHeight="1" x14ac:dyDescent="0.3">
      <c r="A372" s="54">
        <v>99000000000</v>
      </c>
      <c r="B372" s="54"/>
      <c r="C372" s="112" t="s">
        <v>2</v>
      </c>
      <c r="D372" s="113"/>
      <c r="E372" s="67">
        <f>F372</f>
        <v>5968560</v>
      </c>
      <c r="F372" s="140">
        <v>5968560</v>
      </c>
      <c r="G372" s="141"/>
      <c r="H372" s="141"/>
      <c r="I372" s="141"/>
      <c r="J372" s="142"/>
    </row>
    <row r="373" spans="1:13" ht="59.25" customHeight="1" x14ac:dyDescent="0.3">
      <c r="A373" s="19" t="s">
        <v>279</v>
      </c>
      <c r="B373" s="68">
        <v>9800</v>
      </c>
      <c r="C373" s="100" t="s">
        <v>257</v>
      </c>
      <c r="D373" s="100"/>
      <c r="E373" s="9">
        <f>E374</f>
        <v>9665990</v>
      </c>
      <c r="F373" s="135"/>
      <c r="G373" s="135"/>
      <c r="H373" s="135"/>
      <c r="I373" s="135"/>
      <c r="J373" s="135"/>
    </row>
    <row r="374" spans="1:13" s="10" customFormat="1" ht="33" customHeight="1" x14ac:dyDescent="0.3">
      <c r="A374" s="54">
        <v>99000000000</v>
      </c>
      <c r="B374" s="54"/>
      <c r="C374" s="112" t="s">
        <v>2</v>
      </c>
      <c r="D374" s="113"/>
      <c r="E374" s="67">
        <v>9665990</v>
      </c>
      <c r="F374" s="156"/>
      <c r="G374" s="156"/>
      <c r="H374" s="156"/>
      <c r="I374" s="156"/>
      <c r="J374" s="156"/>
    </row>
    <row r="375" spans="1:13" s="24" customFormat="1" ht="26.25" customHeight="1" x14ac:dyDescent="0.3">
      <c r="A375" s="22"/>
      <c r="B375" s="22"/>
      <c r="C375" s="171" t="s">
        <v>275</v>
      </c>
      <c r="D375" s="171"/>
      <c r="E375" s="23">
        <f>E376+E377</f>
        <v>1433131441.6800001</v>
      </c>
      <c r="F375" s="169"/>
      <c r="G375" s="169"/>
      <c r="H375" s="169"/>
      <c r="I375" s="169"/>
      <c r="J375" s="169"/>
      <c r="K375" s="96"/>
      <c r="M375" s="25"/>
    </row>
    <row r="376" spans="1:13" s="24" customFormat="1" ht="26.25" customHeight="1" x14ac:dyDescent="0.3">
      <c r="A376" s="22"/>
      <c r="B376" s="22"/>
      <c r="C376" s="171" t="s">
        <v>179</v>
      </c>
      <c r="D376" s="171"/>
      <c r="E376" s="23">
        <f>E11+E13+E110+E121+E169+E255+E257+E47+E55+E158+E241+E243+E344+E338+E348+E340+E346+E251+E342</f>
        <v>1220093169.6800001</v>
      </c>
      <c r="F376" s="169"/>
      <c r="G376" s="169"/>
      <c r="H376" s="169"/>
      <c r="I376" s="169"/>
      <c r="J376" s="169"/>
      <c r="K376" s="96"/>
      <c r="M376" s="25"/>
    </row>
    <row r="377" spans="1:13" s="24" customFormat="1" ht="26.25" customHeight="1" x14ac:dyDescent="0.3">
      <c r="A377" s="22"/>
      <c r="B377" s="22"/>
      <c r="C377" s="171" t="s">
        <v>180</v>
      </c>
      <c r="D377" s="171"/>
      <c r="E377" s="23">
        <f>E351+E371+E373+E369</f>
        <v>213038272</v>
      </c>
      <c r="F377" s="169"/>
      <c r="G377" s="169"/>
      <c r="H377" s="169"/>
      <c r="I377" s="169"/>
      <c r="J377" s="169"/>
      <c r="K377" s="96"/>
      <c r="M377" s="25"/>
    </row>
    <row r="378" spans="1:13" s="24" customFormat="1" ht="112.5" customHeight="1" x14ac:dyDescent="0.3">
      <c r="A378" s="92"/>
      <c r="B378" s="92"/>
      <c r="C378" s="93"/>
      <c r="D378" s="93"/>
      <c r="E378" s="94"/>
      <c r="F378" s="95"/>
      <c r="G378" s="95"/>
      <c r="H378" s="95"/>
      <c r="I378" s="95"/>
      <c r="J378" s="95"/>
      <c r="K378" s="96"/>
      <c r="M378" s="25"/>
    </row>
    <row r="379" spans="1:13" ht="15.75" customHeight="1" x14ac:dyDescent="0.3"/>
    <row r="380" spans="1:13" s="26" customFormat="1" ht="32.25" customHeight="1" x14ac:dyDescent="0.4">
      <c r="B380" s="123" t="s">
        <v>260</v>
      </c>
      <c r="C380" s="123"/>
      <c r="D380" s="168"/>
      <c r="E380" s="168"/>
      <c r="F380" s="170" t="s">
        <v>261</v>
      </c>
      <c r="G380" s="170"/>
      <c r="H380" s="170"/>
      <c r="I380" s="170"/>
      <c r="J380" s="170"/>
    </row>
    <row r="382" spans="1:13" x14ac:dyDescent="0.3">
      <c r="E382" s="27"/>
      <c r="F382" s="27"/>
      <c r="G382" s="27"/>
      <c r="H382" s="27"/>
      <c r="I382" s="27"/>
      <c r="J382" s="27"/>
    </row>
  </sheetData>
  <sheetProtection selectLockedCells="1" selectUnlockedCells="1"/>
  <mergeCells count="617">
    <mergeCell ref="C369:D369"/>
    <mergeCell ref="F369:J369"/>
    <mergeCell ref="C370:D370"/>
    <mergeCell ref="F370:J370"/>
    <mergeCell ref="A110:A111"/>
    <mergeCell ref="B110:B111"/>
    <mergeCell ref="C110:D111"/>
    <mergeCell ref="H163:J163"/>
    <mergeCell ref="C164:D164"/>
    <mergeCell ref="C166:D166"/>
    <mergeCell ref="C165:D165"/>
    <mergeCell ref="F366:J366"/>
    <mergeCell ref="F367:J367"/>
    <mergeCell ref="C359:D359"/>
    <mergeCell ref="C295:D295"/>
    <mergeCell ref="F317:J317"/>
    <mergeCell ref="C318:D318"/>
    <mergeCell ref="C313:D313"/>
    <mergeCell ref="A337:D337"/>
    <mergeCell ref="F288:J288"/>
    <mergeCell ref="F292:J292"/>
    <mergeCell ref="F293:J293"/>
    <mergeCell ref="F296:J296"/>
    <mergeCell ref="F304:J304"/>
    <mergeCell ref="F306:J306"/>
    <mergeCell ref="F307:J307"/>
    <mergeCell ref="F305:J305"/>
    <mergeCell ref="F291:J291"/>
    <mergeCell ref="C371:D371"/>
    <mergeCell ref="F371:J371"/>
    <mergeCell ref="C372:D372"/>
    <mergeCell ref="F372:J372"/>
    <mergeCell ref="C113:D113"/>
    <mergeCell ref="C114:D114"/>
    <mergeCell ref="A115:D115"/>
    <mergeCell ref="C116:D116"/>
    <mergeCell ref="C117:D117"/>
    <mergeCell ref="C118:D118"/>
    <mergeCell ref="C119:D119"/>
    <mergeCell ref="A120:D120"/>
    <mergeCell ref="F368:J368"/>
    <mergeCell ref="F303:J303"/>
    <mergeCell ref="F289:J289"/>
    <mergeCell ref="F298:J298"/>
    <mergeCell ref="F299:J299"/>
    <mergeCell ref="F297:J297"/>
    <mergeCell ref="F302:J302"/>
    <mergeCell ref="C329:D329"/>
    <mergeCell ref="B169:B170"/>
    <mergeCell ref="C326:D326"/>
    <mergeCell ref="F313:J313"/>
    <mergeCell ref="F242:J242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52:J152"/>
    <mergeCell ref="H153:J153"/>
    <mergeCell ref="H154:J154"/>
    <mergeCell ref="H155:J155"/>
    <mergeCell ref="H157:J157"/>
    <mergeCell ref="H156:J156"/>
    <mergeCell ref="C181:D181"/>
    <mergeCell ref="C180:D180"/>
    <mergeCell ref="H159:J159"/>
    <mergeCell ref="H160:J160"/>
    <mergeCell ref="C161:D161"/>
    <mergeCell ref="H161:J161"/>
    <mergeCell ref="E169:E170"/>
    <mergeCell ref="C179:D179"/>
    <mergeCell ref="C178:D178"/>
    <mergeCell ref="C177:D177"/>
    <mergeCell ref="C176:D176"/>
    <mergeCell ref="C175:D175"/>
    <mergeCell ref="C174:D174"/>
    <mergeCell ref="C173:D173"/>
    <mergeCell ref="C172:D172"/>
    <mergeCell ref="C171:D171"/>
    <mergeCell ref="C90:D90"/>
    <mergeCell ref="H125:J125"/>
    <mergeCell ref="H126:J126"/>
    <mergeCell ref="H127:J127"/>
    <mergeCell ref="H128:J128"/>
    <mergeCell ref="H129:J129"/>
    <mergeCell ref="C220:D220"/>
    <mergeCell ref="H130:J130"/>
    <mergeCell ref="H131:J131"/>
    <mergeCell ref="H132:J132"/>
    <mergeCell ref="H133:J133"/>
    <mergeCell ref="H134:J134"/>
    <mergeCell ref="H135:J135"/>
    <mergeCell ref="H137:J137"/>
    <mergeCell ref="H138:J138"/>
    <mergeCell ref="C209:D209"/>
    <mergeCell ref="C214:D214"/>
    <mergeCell ref="C191:D191"/>
    <mergeCell ref="C190:D190"/>
    <mergeCell ref="C207:D207"/>
    <mergeCell ref="C206:D206"/>
    <mergeCell ref="C183:D183"/>
    <mergeCell ref="C182:D182"/>
    <mergeCell ref="A184:D184"/>
    <mergeCell ref="F275:J275"/>
    <mergeCell ref="F274:J274"/>
    <mergeCell ref="H123:J123"/>
    <mergeCell ref="E110:E111"/>
    <mergeCell ref="H124:J124"/>
    <mergeCell ref="C95:D95"/>
    <mergeCell ref="C107:D107"/>
    <mergeCell ref="C91:D91"/>
    <mergeCell ref="C92:D92"/>
    <mergeCell ref="C93:D93"/>
    <mergeCell ref="C94:D94"/>
    <mergeCell ref="C198:D198"/>
    <mergeCell ref="C197:D197"/>
    <mergeCell ref="C205:D205"/>
    <mergeCell ref="F158:G158"/>
    <mergeCell ref="H139:J139"/>
    <mergeCell ref="C188:D188"/>
    <mergeCell ref="C213:D213"/>
    <mergeCell ref="C156:D156"/>
    <mergeCell ref="A157:D157"/>
    <mergeCell ref="A158:A160"/>
    <mergeCell ref="B158:B160"/>
    <mergeCell ref="C158:D160"/>
    <mergeCell ref="C162:D162"/>
    <mergeCell ref="C314:D314"/>
    <mergeCell ref="F311:J311"/>
    <mergeCell ref="F336:J336"/>
    <mergeCell ref="C328:D328"/>
    <mergeCell ref="F267:J267"/>
    <mergeCell ref="F273:J273"/>
    <mergeCell ref="F265:J265"/>
    <mergeCell ref="F259:J259"/>
    <mergeCell ref="F260:J260"/>
    <mergeCell ref="F263:J263"/>
    <mergeCell ref="F264:J264"/>
    <mergeCell ref="F272:J272"/>
    <mergeCell ref="F286:J286"/>
    <mergeCell ref="F283:J283"/>
    <mergeCell ref="F285:J285"/>
    <mergeCell ref="F284:J284"/>
    <mergeCell ref="F279:J279"/>
    <mergeCell ref="F280:J280"/>
    <mergeCell ref="F281:J281"/>
    <mergeCell ref="F282:J282"/>
    <mergeCell ref="F269:J269"/>
    <mergeCell ref="F277:J277"/>
    <mergeCell ref="F270:J270"/>
    <mergeCell ref="F261:J261"/>
    <mergeCell ref="C278:D278"/>
    <mergeCell ref="C279:D279"/>
    <mergeCell ref="F301:J301"/>
    <mergeCell ref="C300:D300"/>
    <mergeCell ref="C301:D301"/>
    <mergeCell ref="C302:D302"/>
    <mergeCell ref="C297:D297"/>
    <mergeCell ref="C292:D292"/>
    <mergeCell ref="C287:D287"/>
    <mergeCell ref="C288:D288"/>
    <mergeCell ref="C289:D289"/>
    <mergeCell ref="F278:J278"/>
    <mergeCell ref="F295:J295"/>
    <mergeCell ref="F290:J290"/>
    <mergeCell ref="F294:J294"/>
    <mergeCell ref="F287:J287"/>
    <mergeCell ref="C286:D286"/>
    <mergeCell ref="D380:E380"/>
    <mergeCell ref="F375:J375"/>
    <mergeCell ref="F376:J376"/>
    <mergeCell ref="F380:J380"/>
    <mergeCell ref="C375:D375"/>
    <mergeCell ref="C376:D376"/>
    <mergeCell ref="F337:J337"/>
    <mergeCell ref="C351:D351"/>
    <mergeCell ref="F351:J351"/>
    <mergeCell ref="C356:D356"/>
    <mergeCell ref="F356:J356"/>
    <mergeCell ref="A350:J350"/>
    <mergeCell ref="C377:D377"/>
    <mergeCell ref="F377:J377"/>
    <mergeCell ref="C352:D352"/>
    <mergeCell ref="F352:J352"/>
    <mergeCell ref="C353:D353"/>
    <mergeCell ref="F353:J353"/>
    <mergeCell ref="C355:D355"/>
    <mergeCell ref="C373:D373"/>
    <mergeCell ref="F373:J373"/>
    <mergeCell ref="C374:D374"/>
    <mergeCell ref="F374:J374"/>
    <mergeCell ref="F355:J355"/>
    <mergeCell ref="C225:D225"/>
    <mergeCell ref="C273:D273"/>
    <mergeCell ref="C264:D264"/>
    <mergeCell ref="F335:J335"/>
    <mergeCell ref="F334:J334"/>
    <mergeCell ref="C277:D277"/>
    <mergeCell ref="C312:D312"/>
    <mergeCell ref="C309:D309"/>
    <mergeCell ref="C308:D308"/>
    <mergeCell ref="C294:D294"/>
    <mergeCell ref="C282:D282"/>
    <mergeCell ref="C305:D305"/>
    <mergeCell ref="C306:D306"/>
    <mergeCell ref="C296:D296"/>
    <mergeCell ref="C284:D284"/>
    <mergeCell ref="C285:D285"/>
    <mergeCell ref="C280:D280"/>
    <mergeCell ref="C283:D283"/>
    <mergeCell ref="C291:D291"/>
    <mergeCell ref="C293:D293"/>
    <mergeCell ref="C290:D290"/>
    <mergeCell ref="C281:D281"/>
    <mergeCell ref="C333:D333"/>
    <mergeCell ref="F331:J331"/>
    <mergeCell ref="F249:G249"/>
    <mergeCell ref="C241:D241"/>
    <mergeCell ref="F241:J241"/>
    <mergeCell ref="H248:J248"/>
    <mergeCell ref="A250:D250"/>
    <mergeCell ref="F250:G250"/>
    <mergeCell ref="H250:J250"/>
    <mergeCell ref="C261:D261"/>
    <mergeCell ref="C262:D262"/>
    <mergeCell ref="C251:D251"/>
    <mergeCell ref="F251:J251"/>
    <mergeCell ref="C253:D253"/>
    <mergeCell ref="F253:J253"/>
    <mergeCell ref="A254:D254"/>
    <mergeCell ref="F254:J254"/>
    <mergeCell ref="F262:J262"/>
    <mergeCell ref="F255:J255"/>
    <mergeCell ref="F258:J258"/>
    <mergeCell ref="C258:D258"/>
    <mergeCell ref="C256:D256"/>
    <mergeCell ref="C257:D257"/>
    <mergeCell ref="F252:J252"/>
    <mergeCell ref="C252:D252"/>
    <mergeCell ref="H245:J245"/>
    <mergeCell ref="C13:D13"/>
    <mergeCell ref="F256:J256"/>
    <mergeCell ref="C227:D227"/>
    <mergeCell ref="C234:D234"/>
    <mergeCell ref="C224:D224"/>
    <mergeCell ref="C204:D204"/>
    <mergeCell ref="C155:D155"/>
    <mergeCell ref="C143:D143"/>
    <mergeCell ref="C145:D145"/>
    <mergeCell ref="C255:D255"/>
    <mergeCell ref="C238:D238"/>
    <mergeCell ref="C237:D237"/>
    <mergeCell ref="C236:D236"/>
    <mergeCell ref="C235:D235"/>
    <mergeCell ref="F13:J13"/>
    <mergeCell ref="C47:D47"/>
    <mergeCell ref="F47:J47"/>
    <mergeCell ref="C54:D54"/>
    <mergeCell ref="F54:J54"/>
    <mergeCell ref="C55:D55"/>
    <mergeCell ref="F55:J55"/>
    <mergeCell ref="H121:J121"/>
    <mergeCell ref="F248:G248"/>
    <mergeCell ref="C249:D249"/>
    <mergeCell ref="F1:J1"/>
    <mergeCell ref="F2:J2"/>
    <mergeCell ref="A10:J10"/>
    <mergeCell ref="F5:J9"/>
    <mergeCell ref="C11:D11"/>
    <mergeCell ref="F11:J11"/>
    <mergeCell ref="F12:J12"/>
    <mergeCell ref="C12:D12"/>
    <mergeCell ref="A3:J3"/>
    <mergeCell ref="E5:E9"/>
    <mergeCell ref="C5:D9"/>
    <mergeCell ref="A5:A9"/>
    <mergeCell ref="B5:B9"/>
    <mergeCell ref="F320:J320"/>
    <mergeCell ref="F332:J332"/>
    <mergeCell ref="C311:D311"/>
    <mergeCell ref="C307:D307"/>
    <mergeCell ref="F308:J308"/>
    <mergeCell ref="F309:J309"/>
    <mergeCell ref="F315:J315"/>
    <mergeCell ref="F310:J310"/>
    <mergeCell ref="C315:D315"/>
    <mergeCell ref="F321:J321"/>
    <mergeCell ref="F316:J316"/>
    <mergeCell ref="C316:D316"/>
    <mergeCell ref="F328:J328"/>
    <mergeCell ref="C322:D322"/>
    <mergeCell ref="F330:J330"/>
    <mergeCell ref="F329:J329"/>
    <mergeCell ref="C323:D323"/>
    <mergeCell ref="C319:D319"/>
    <mergeCell ref="C320:D320"/>
    <mergeCell ref="C321:D321"/>
    <mergeCell ref="C327:D327"/>
    <mergeCell ref="C331:D331"/>
    <mergeCell ref="C332:D332"/>
    <mergeCell ref="C330:D330"/>
    <mergeCell ref="C268:D268"/>
    <mergeCell ref="C267:D267"/>
    <mergeCell ref="C187:D187"/>
    <mergeCell ref="C186:D186"/>
    <mergeCell ref="C185:D185"/>
    <mergeCell ref="C245:D245"/>
    <mergeCell ref="C233:D233"/>
    <mergeCell ref="C239:D239"/>
    <mergeCell ref="A240:D240"/>
    <mergeCell ref="C232:D232"/>
    <mergeCell ref="C226:D226"/>
    <mergeCell ref="C231:D231"/>
    <mergeCell ref="C212:D212"/>
    <mergeCell ref="C222:D222"/>
    <mergeCell ref="C211:D211"/>
    <mergeCell ref="C210:D210"/>
    <mergeCell ref="C194:D194"/>
    <mergeCell ref="C199:D199"/>
    <mergeCell ref="C208:D208"/>
    <mergeCell ref="C196:D196"/>
    <mergeCell ref="C195:D195"/>
    <mergeCell ref="C203:D203"/>
    <mergeCell ref="C263:D263"/>
    <mergeCell ref="C228:D228"/>
    <mergeCell ref="F30:J30"/>
    <mergeCell ref="F31:J31"/>
    <mergeCell ref="F38:J38"/>
    <mergeCell ref="C39:D39"/>
    <mergeCell ref="F39:J39"/>
    <mergeCell ref="C201:D201"/>
    <mergeCell ref="C200:D200"/>
    <mergeCell ref="E121:E122"/>
    <mergeCell ref="C141:D141"/>
    <mergeCell ref="C129:D129"/>
    <mergeCell ref="C130:D130"/>
    <mergeCell ref="C131:D131"/>
    <mergeCell ref="C124:D124"/>
    <mergeCell ref="C125:D125"/>
    <mergeCell ref="C134:D134"/>
    <mergeCell ref="C147:D147"/>
    <mergeCell ref="C146:D146"/>
    <mergeCell ref="C40:D40"/>
    <mergeCell ref="F40:J40"/>
    <mergeCell ref="C45:D45"/>
    <mergeCell ref="C152:D152"/>
    <mergeCell ref="C153:D153"/>
    <mergeCell ref="H136:J136"/>
    <mergeCell ref="H122:J122"/>
    <mergeCell ref="F34:J34"/>
    <mergeCell ref="C35:D35"/>
    <mergeCell ref="F35:J35"/>
    <mergeCell ref="C32:D32"/>
    <mergeCell ref="F32:J32"/>
    <mergeCell ref="C33:D33"/>
    <mergeCell ref="F33:J33"/>
    <mergeCell ref="C22:D22"/>
    <mergeCell ref="F22:J22"/>
    <mergeCell ref="C23:D23"/>
    <mergeCell ref="F23:J23"/>
    <mergeCell ref="C24:D24"/>
    <mergeCell ref="F24:J24"/>
    <mergeCell ref="C25:D25"/>
    <mergeCell ref="F25:J25"/>
    <mergeCell ref="C28:D28"/>
    <mergeCell ref="F28:J28"/>
    <mergeCell ref="C26:D26"/>
    <mergeCell ref="F26:J26"/>
    <mergeCell ref="C27:D27"/>
    <mergeCell ref="F27:J27"/>
    <mergeCell ref="C29:D29"/>
    <mergeCell ref="F29:J29"/>
    <mergeCell ref="C30:D30"/>
    <mergeCell ref="F36:J36"/>
    <mergeCell ref="C37:D37"/>
    <mergeCell ref="F37:J37"/>
    <mergeCell ref="C41:D41"/>
    <mergeCell ref="F41:J41"/>
    <mergeCell ref="C14:D14"/>
    <mergeCell ref="F14:J14"/>
    <mergeCell ref="C15:D15"/>
    <mergeCell ref="F15:J15"/>
    <mergeCell ref="C16:D16"/>
    <mergeCell ref="F16:J16"/>
    <mergeCell ref="C17:D17"/>
    <mergeCell ref="F17:J17"/>
    <mergeCell ref="C18:D18"/>
    <mergeCell ref="F18:J18"/>
    <mergeCell ref="C19:D19"/>
    <mergeCell ref="F19:J19"/>
    <mergeCell ref="C20:D20"/>
    <mergeCell ref="F20:J20"/>
    <mergeCell ref="C21:D21"/>
    <mergeCell ref="F21:J21"/>
    <mergeCell ref="C34:D34"/>
    <mergeCell ref="C36:D36"/>
    <mergeCell ref="C31:D31"/>
    <mergeCell ref="F45:J45"/>
    <mergeCell ref="C44:D44"/>
    <mergeCell ref="F44:J44"/>
    <mergeCell ref="A46:D46"/>
    <mergeCell ref="C43:D43"/>
    <mergeCell ref="F43:J43"/>
    <mergeCell ref="C42:D42"/>
    <mergeCell ref="F42:J42"/>
    <mergeCell ref="F46:J46"/>
    <mergeCell ref="C70:D70"/>
    <mergeCell ref="C71:D71"/>
    <mergeCell ref="C88:D88"/>
    <mergeCell ref="C89:D89"/>
    <mergeCell ref="C56:D56"/>
    <mergeCell ref="C57:D57"/>
    <mergeCell ref="C58:D58"/>
    <mergeCell ref="C59:D59"/>
    <mergeCell ref="C60:D60"/>
    <mergeCell ref="C61:D61"/>
    <mergeCell ref="A62:D62"/>
    <mergeCell ref="C63:D63"/>
    <mergeCell ref="C64:D64"/>
    <mergeCell ref="C66:D66"/>
    <mergeCell ref="C65:D65"/>
    <mergeCell ref="C72:D72"/>
    <mergeCell ref="C73:D73"/>
    <mergeCell ref="C74:D74"/>
    <mergeCell ref="C75:D75"/>
    <mergeCell ref="C76:D76"/>
    <mergeCell ref="C77:D77"/>
    <mergeCell ref="C38:D38"/>
    <mergeCell ref="C139:D139"/>
    <mergeCell ref="C140:D140"/>
    <mergeCell ref="C126:D126"/>
    <mergeCell ref="C133:D133"/>
    <mergeCell ref="A121:A122"/>
    <mergeCell ref="B121:B122"/>
    <mergeCell ref="C132:D132"/>
    <mergeCell ref="C123:D123"/>
    <mergeCell ref="C67:D67"/>
    <mergeCell ref="C68:D68"/>
    <mergeCell ref="C96:D96"/>
    <mergeCell ref="C106:D106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69:D69"/>
    <mergeCell ref="C338:D338"/>
    <mergeCell ref="F338:J338"/>
    <mergeCell ref="C339:D339"/>
    <mergeCell ref="F339:J339"/>
    <mergeCell ref="C298:D298"/>
    <mergeCell ref="F318:J318"/>
    <mergeCell ref="F319:J319"/>
    <mergeCell ref="C276:D276"/>
    <mergeCell ref="C274:D274"/>
    <mergeCell ref="F276:J276"/>
    <mergeCell ref="C334:D334"/>
    <mergeCell ref="F324:J324"/>
    <mergeCell ref="C317:D317"/>
    <mergeCell ref="C324:D324"/>
    <mergeCell ref="C299:D299"/>
    <mergeCell ref="C275:D275"/>
    <mergeCell ref="F300:J300"/>
    <mergeCell ref="F333:J333"/>
    <mergeCell ref="F314:J314"/>
    <mergeCell ref="C335:D335"/>
    <mergeCell ref="C336:D336"/>
    <mergeCell ref="F322:J322"/>
    <mergeCell ref="F323:J323"/>
    <mergeCell ref="F326:J326"/>
    <mergeCell ref="C354:D354"/>
    <mergeCell ref="F354:J354"/>
    <mergeCell ref="C340:D340"/>
    <mergeCell ref="F340:J340"/>
    <mergeCell ref="C341:D341"/>
    <mergeCell ref="F341:J341"/>
    <mergeCell ref="C348:D348"/>
    <mergeCell ref="F348:J348"/>
    <mergeCell ref="C349:D349"/>
    <mergeCell ref="F349:J349"/>
    <mergeCell ref="C346:D346"/>
    <mergeCell ref="F346:J346"/>
    <mergeCell ref="C347:D347"/>
    <mergeCell ref="F347:J347"/>
    <mergeCell ref="C344:D344"/>
    <mergeCell ref="F344:J344"/>
    <mergeCell ref="C345:D345"/>
    <mergeCell ref="F345:J345"/>
    <mergeCell ref="C342:D342"/>
    <mergeCell ref="F342:J342"/>
    <mergeCell ref="C343:D343"/>
    <mergeCell ref="F343:J343"/>
    <mergeCell ref="C357:D357"/>
    <mergeCell ref="F357:J357"/>
    <mergeCell ref="C366:D366"/>
    <mergeCell ref="C367:D367"/>
    <mergeCell ref="A368:D368"/>
    <mergeCell ref="F361:J361"/>
    <mergeCell ref="F362:J362"/>
    <mergeCell ref="F363:J363"/>
    <mergeCell ref="F364:J364"/>
    <mergeCell ref="F365:J365"/>
    <mergeCell ref="F359:J359"/>
    <mergeCell ref="C360:D360"/>
    <mergeCell ref="F360:J360"/>
    <mergeCell ref="C361:D361"/>
    <mergeCell ref="C362:D362"/>
    <mergeCell ref="C363:D363"/>
    <mergeCell ref="C364:D364"/>
    <mergeCell ref="C365:D365"/>
    <mergeCell ref="A358:D358"/>
    <mergeCell ref="F358:J358"/>
    <mergeCell ref="F312:J312"/>
    <mergeCell ref="F325:J325"/>
    <mergeCell ref="F327:J327"/>
    <mergeCell ref="C325:D325"/>
    <mergeCell ref="C48:D48"/>
    <mergeCell ref="C49:D49"/>
    <mergeCell ref="C51:D51"/>
    <mergeCell ref="C52:D52"/>
    <mergeCell ref="C50:D50"/>
    <mergeCell ref="C53:D53"/>
    <mergeCell ref="C246:D246"/>
    <mergeCell ref="A247:D247"/>
    <mergeCell ref="F245:G245"/>
    <mergeCell ref="A243:A244"/>
    <mergeCell ref="B243:B244"/>
    <mergeCell ref="C136:D136"/>
    <mergeCell ref="E158:E160"/>
    <mergeCell ref="C138:D138"/>
    <mergeCell ref="A137:D137"/>
    <mergeCell ref="C151:D151"/>
    <mergeCell ref="C144:D144"/>
    <mergeCell ref="C169:D170"/>
    <mergeCell ref="H168:J168"/>
    <mergeCell ref="C192:D192"/>
    <mergeCell ref="F246:G246"/>
    <mergeCell ref="H246:J246"/>
    <mergeCell ref="C303:D303"/>
    <mergeCell ref="C304:D304"/>
    <mergeCell ref="C310:D310"/>
    <mergeCell ref="C189:D189"/>
    <mergeCell ref="C202:D202"/>
    <mergeCell ref="C272:D272"/>
    <mergeCell ref="A271:D271"/>
    <mergeCell ref="F257:J257"/>
    <mergeCell ref="F268:J268"/>
    <mergeCell ref="F271:J271"/>
    <mergeCell ref="C269:D269"/>
    <mergeCell ref="C259:D259"/>
    <mergeCell ref="C260:D260"/>
    <mergeCell ref="F266:J266"/>
    <mergeCell ref="C266:D266"/>
    <mergeCell ref="C265:D265"/>
    <mergeCell ref="C219:D219"/>
    <mergeCell ref="C248:D248"/>
    <mergeCell ref="C229:D229"/>
    <mergeCell ref="C242:D242"/>
    <mergeCell ref="C270:D270"/>
    <mergeCell ref="F247:G247"/>
    <mergeCell ref="C121:D122"/>
    <mergeCell ref="H247:J247"/>
    <mergeCell ref="F243:J243"/>
    <mergeCell ref="E243:E244"/>
    <mergeCell ref="F244:G244"/>
    <mergeCell ref="H244:J244"/>
    <mergeCell ref="C150:D150"/>
    <mergeCell ref="C148:D148"/>
    <mergeCell ref="C142:D142"/>
    <mergeCell ref="C149:D149"/>
    <mergeCell ref="C243:D244"/>
    <mergeCell ref="C223:D223"/>
    <mergeCell ref="C221:D221"/>
    <mergeCell ref="C230:D230"/>
    <mergeCell ref="C215:D215"/>
    <mergeCell ref="C218:D218"/>
    <mergeCell ref="C217:D217"/>
    <mergeCell ref="C216:D216"/>
    <mergeCell ref="A163:D163"/>
    <mergeCell ref="A169:A170"/>
    <mergeCell ref="C167:D167"/>
    <mergeCell ref="A168:D168"/>
    <mergeCell ref="C154:D154"/>
    <mergeCell ref="C193:D193"/>
    <mergeCell ref="B380:C380"/>
    <mergeCell ref="F48:J48"/>
    <mergeCell ref="F49:J49"/>
    <mergeCell ref="F50:J50"/>
    <mergeCell ref="F51:J51"/>
    <mergeCell ref="F52:J52"/>
    <mergeCell ref="F53:J53"/>
    <mergeCell ref="H150:J150"/>
    <mergeCell ref="H151:J151"/>
    <mergeCell ref="C127:D127"/>
    <mergeCell ref="C135:D135"/>
    <mergeCell ref="C108:D108"/>
    <mergeCell ref="A109:D109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28:D128"/>
    <mergeCell ref="C112:D112"/>
  </mergeCells>
  <pageMargins left="0.59055118110236227" right="0.59055118110236227" top="0.59055118110236227" bottom="0.59055118110236227" header="0" footer="0"/>
  <pageSetup paperSize="9" scale="40" firstPageNumber="5" fitToHeight="500" orientation="landscape" useFirstPageNumber="1" horizontalDpi="300" verticalDpi="300" r:id="rId1"/>
  <headerFooter differentFirst="1" alignWithMargins="0">
    <oddHeader>&amp;C&amp;P</oddHeader>
    <firstHeader>&amp;C&amp;P</firstHeader>
  </headerFooter>
  <rowBreaks count="2" manualBreakCount="2">
    <brk id="341" max="9" man="1"/>
    <brk id="3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</vt:lpstr>
      <vt:lpstr>НА</vt:lpstr>
      <vt:lpstr>З!Заголовки_для_печати</vt:lpstr>
      <vt:lpstr>НА!Заголовки_для_печати</vt:lpstr>
      <vt:lpstr>З!Область_печати</vt:lpstr>
      <vt:lpstr>НА!Область_печати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Тітенкова Юлія</dc:creator>
  <cp:lastModifiedBy>User</cp:lastModifiedBy>
  <cp:lastPrinted>2022-05-11T12:37:57Z</cp:lastPrinted>
  <dcterms:created xsi:type="dcterms:W3CDTF">2015-06-05T18:19:34Z</dcterms:created>
  <dcterms:modified xsi:type="dcterms:W3CDTF">2022-05-11T12:38:10Z</dcterms:modified>
</cp:coreProperties>
</file>