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0230"/>
  </bookViews>
  <sheets>
    <sheet name="З" sheetId="1" r:id="rId1"/>
    <sheet name="НА" sheetId="2" r:id="rId2"/>
  </sheets>
  <definedNames>
    <definedName name="_xlnm._FilterDatabase" localSheetId="0" hidden="1">З!$A$13:$E$364</definedName>
    <definedName name="_xlnm._FilterDatabase" localSheetId="1" hidden="1">НА!$A$5:$I$593</definedName>
    <definedName name="Z_4644111A_82C5_489B_9E53_EB80700E535E_.wvu.FilterData" localSheetId="0" hidden="1">З!$A$13:$E$364</definedName>
    <definedName name="Z_4644111A_82C5_489B_9E53_EB80700E535E_.wvu.FilterData" localSheetId="1" hidden="1">НА!$A$5:$I$593</definedName>
    <definedName name="Z_4644111A_82C5_489B_9E53_EB80700E535E_.wvu.PrintArea" localSheetId="0" hidden="1">З!$A$1:$D$363</definedName>
    <definedName name="Z_4644111A_82C5_489B_9E53_EB80700E535E_.wvu.PrintArea" localSheetId="1" hidden="1">НА!$A$1:$I$596</definedName>
    <definedName name="Z_4644111A_82C5_489B_9E53_EB80700E535E_.wvu.PrintTitles" localSheetId="0" hidden="1">З!$A:$C,З!$10:$13</definedName>
    <definedName name="Z_4644111A_82C5_489B_9E53_EB80700E535E_.wvu.PrintTitles" localSheetId="1" hidden="1">НА!$5:$10</definedName>
    <definedName name="Z_879B1E14_7CA4_4463_9C42_4E2586107585_.wvu.FilterData" localSheetId="0" hidden="1">З!$A$13:$E$364</definedName>
    <definedName name="Z_879B1E14_7CA4_4463_9C42_4E2586107585_.wvu.FilterData" localSheetId="1" hidden="1">НА!$A$5:$I$593</definedName>
    <definedName name="Z_879B1E14_7CA4_4463_9C42_4E2586107585_.wvu.PrintArea" localSheetId="0" hidden="1">З!$A$1:$D$363</definedName>
    <definedName name="Z_879B1E14_7CA4_4463_9C42_4E2586107585_.wvu.PrintArea" localSheetId="1" hidden="1">НА!$A$1:$I$596</definedName>
    <definedName name="Z_879B1E14_7CA4_4463_9C42_4E2586107585_.wvu.PrintTitles" localSheetId="0" hidden="1">З!$A:$C,З!$10:$13</definedName>
    <definedName name="Z_879B1E14_7CA4_4463_9C42_4E2586107585_.wvu.PrintTitles" localSheetId="1" hidden="1">НА!$5:$10</definedName>
    <definedName name="Z_C9A6F9B2_0582_46B8_BF5A_2A8D2AC01FE2_.wvu.FilterData" localSheetId="0" hidden="1">З!$A$13:$E$364</definedName>
    <definedName name="Z_C9A6F9B2_0582_46B8_BF5A_2A8D2AC01FE2_.wvu.FilterData" localSheetId="1" hidden="1">НА!$A$5:$I$593</definedName>
    <definedName name="Z_C9A6F9B2_0582_46B8_BF5A_2A8D2AC01FE2_.wvu.PrintArea" localSheetId="0" hidden="1">З!$A$1:$D$363</definedName>
    <definedName name="Z_C9A6F9B2_0582_46B8_BF5A_2A8D2AC01FE2_.wvu.PrintArea" localSheetId="1" hidden="1">НА!$A$1:$I$596</definedName>
    <definedName name="Z_C9A6F9B2_0582_46B8_BF5A_2A8D2AC01FE2_.wvu.PrintTitles" localSheetId="0" hidden="1">З!$A:$C,З!$10:$13</definedName>
    <definedName name="Z_C9A6F9B2_0582_46B8_BF5A_2A8D2AC01FE2_.wvu.PrintTitles" localSheetId="1" hidden="1">НА!$5:$10</definedName>
    <definedName name="_xlnm.Print_Titles" localSheetId="0">З!$A:$C,З!$9:$13</definedName>
    <definedName name="_xlnm.Print_Titles" localSheetId="1">НА!$4:$10</definedName>
    <definedName name="_xlnm.Print_Area" localSheetId="0">З!$A$1:$D$364</definedName>
    <definedName name="_xlnm.Print_Area" localSheetId="1">НА!$A$1:$I$596</definedName>
  </definedNames>
  <calcPr calcId="145621"/>
  <customWorkbookViews>
    <customWorkbookView name="Гаврилюк Олена - Особисте подання" guid="{4644111A-82C5-489B-9E53-EB80700E535E}" mergeInterval="0" personalView="1" maximized="1" xWindow="-8" yWindow="-8" windowWidth="1296" windowHeight="696" activeSheetId="2"/>
    <customWorkbookView name="Грешних Наталія - Особисте подання" guid="{879B1E14-7CA4-4463-9C42-4E2586107585}" mergeInterval="0" personalView="1" maximized="1" xWindow="-8" yWindow="-8" windowWidth="1936" windowHeight="1056" activeSheetId="2"/>
    <customWorkbookView name="Рябова Наталія - Особисте подання" guid="{C9A6F9B2-0582-46B8-BF5A-2A8D2AC01FE2}" mergeInterval="0" personalView="1" maximized="1" xWindow="-8" yWindow="-8" windowWidth="1936" windowHeight="1056" activeSheetId="1"/>
  </customWorkbookViews>
</workbook>
</file>

<file path=xl/calcChain.xml><?xml version="1.0" encoding="utf-8"?>
<calcChain xmlns="http://schemas.openxmlformats.org/spreadsheetml/2006/main">
  <c r="F583" i="2" l="1"/>
  <c r="F467" i="2"/>
  <c r="E535" i="2" l="1"/>
  <c r="E286" i="2"/>
  <c r="E281" i="2"/>
  <c r="E276" i="2"/>
  <c r="E357" i="2" l="1"/>
  <c r="E353" i="2"/>
  <c r="E340" i="2"/>
  <c r="E338" i="2"/>
  <c r="E333" i="2"/>
  <c r="E331" i="2"/>
  <c r="E319" i="2"/>
  <c r="E316" i="2"/>
  <c r="E312" i="2"/>
  <c r="E302" i="2"/>
  <c r="E293" i="2"/>
  <c r="E288" i="2"/>
  <c r="E284" i="2"/>
  <c r="E282" i="2"/>
  <c r="E278" i="2"/>
  <c r="E277" i="2"/>
  <c r="E275" i="2"/>
  <c r="E274" i="2"/>
  <c r="E273" i="2"/>
  <c r="E13" i="2" l="1"/>
  <c r="E44" i="2"/>
  <c r="E42" i="2"/>
  <c r="E43" i="2"/>
  <c r="E40" i="2"/>
  <c r="E39" i="2"/>
  <c r="E37" i="2"/>
  <c r="E36" i="2"/>
  <c r="E34" i="2"/>
  <c r="E33" i="2"/>
  <c r="E31" i="2"/>
  <c r="E29" i="2"/>
  <c r="E28" i="2"/>
  <c r="E27" i="2"/>
  <c r="E26" i="2"/>
  <c r="E22" i="2"/>
  <c r="E21" i="2"/>
  <c r="E20" i="2"/>
  <c r="E19" i="2"/>
  <c r="E18" i="2"/>
  <c r="E17" i="2"/>
  <c r="E16" i="2"/>
  <c r="E15" i="2"/>
  <c r="E14" i="2"/>
  <c r="D18" i="1"/>
  <c r="F558" i="2" l="1"/>
  <c r="E558" i="2"/>
  <c r="F465" i="2" l="1"/>
  <c r="F463" i="2"/>
  <c r="F585" i="2"/>
  <c r="F99" i="2" l="1"/>
  <c r="E99" i="2" s="1"/>
  <c r="D34" i="1" l="1"/>
  <c r="D314" i="1" l="1"/>
  <c r="D223" i="1"/>
  <c r="H508" i="2" l="1"/>
  <c r="E508" i="2" s="1"/>
  <c r="E527" i="2"/>
  <c r="E526" i="2"/>
  <c r="E521" i="2"/>
  <c r="E520" i="2"/>
  <c r="E519" i="2"/>
  <c r="E518" i="2"/>
  <c r="E517" i="2"/>
  <c r="E516" i="2"/>
  <c r="E510" i="2"/>
  <c r="E509" i="2"/>
  <c r="E505" i="2"/>
  <c r="E504" i="2"/>
  <c r="E503" i="2"/>
  <c r="E502" i="2"/>
  <c r="E501" i="2"/>
  <c r="E499" i="2"/>
  <c r="E498" i="2"/>
  <c r="E497" i="2"/>
  <c r="E495" i="2"/>
  <c r="E494" i="2"/>
  <c r="E489" i="2"/>
  <c r="E488" i="2"/>
  <c r="E487" i="2"/>
  <c r="E486" i="2"/>
  <c r="F485" i="2"/>
  <c r="F530" i="2"/>
  <c r="H529" i="2"/>
  <c r="E529" i="2" s="1"/>
  <c r="H528" i="2"/>
  <c r="E528" i="2" s="1"/>
  <c r="H525" i="2"/>
  <c r="E525" i="2" s="1"/>
  <c r="H524" i="2"/>
  <c r="E524" i="2" s="1"/>
  <c r="H523" i="2"/>
  <c r="E523" i="2" s="1"/>
  <c r="H522" i="2"/>
  <c r="E522" i="2" s="1"/>
  <c r="H515" i="2"/>
  <c r="E515" i="2" s="1"/>
  <c r="H514" i="2"/>
  <c r="E514" i="2" s="1"/>
  <c r="H513" i="2"/>
  <c r="E513" i="2" s="1"/>
  <c r="H512" i="2"/>
  <c r="E512" i="2" s="1"/>
  <c r="H511" i="2"/>
  <c r="E511" i="2" s="1"/>
  <c r="H507" i="2"/>
  <c r="E507" i="2" s="1"/>
  <c r="H506" i="2"/>
  <c r="E506" i="2" s="1"/>
  <c r="H500" i="2"/>
  <c r="E500" i="2" s="1"/>
  <c r="H496" i="2"/>
  <c r="E496" i="2" s="1"/>
  <c r="H493" i="2"/>
  <c r="E493" i="2" s="1"/>
  <c r="H492" i="2"/>
  <c r="E492" i="2" s="1"/>
  <c r="H491" i="2"/>
  <c r="E491" i="2" s="1"/>
  <c r="H490" i="2"/>
  <c r="E490" i="2" s="1"/>
  <c r="H484" i="2"/>
  <c r="E484" i="2" s="1"/>
  <c r="H482" i="2"/>
  <c r="E482" i="2" s="1"/>
  <c r="H483" i="2"/>
  <c r="E483" i="2" s="1"/>
  <c r="H481" i="2"/>
  <c r="E481" i="2" s="1"/>
  <c r="H480" i="2"/>
  <c r="E480" i="2" s="1"/>
  <c r="H479" i="2"/>
  <c r="E479" i="2" s="1"/>
  <c r="H478" i="2"/>
  <c r="E478" i="2" s="1"/>
  <c r="H477" i="2"/>
  <c r="E477" i="2" s="1"/>
  <c r="H476" i="2"/>
  <c r="F255" i="2"/>
  <c r="E255" i="2" s="1"/>
  <c r="F254" i="2"/>
  <c r="E254" i="2" s="1"/>
  <c r="F253" i="2"/>
  <c r="E253" i="2" s="1"/>
  <c r="F252" i="2"/>
  <c r="E252" i="2" s="1"/>
  <c r="F251" i="2"/>
  <c r="E251" i="2" s="1"/>
  <c r="F250" i="2"/>
  <c r="E250" i="2" s="1"/>
  <c r="F249" i="2"/>
  <c r="E249" i="2" s="1"/>
  <c r="F248" i="2"/>
  <c r="E248" i="2" s="1"/>
  <c r="F247" i="2"/>
  <c r="E247" i="2" s="1"/>
  <c r="I246" i="2"/>
  <c r="I256" i="2" s="1"/>
  <c r="H246" i="2"/>
  <c r="H256" i="2" s="1"/>
  <c r="F246" i="2"/>
  <c r="F245" i="2"/>
  <c r="E245" i="2" s="1"/>
  <c r="F244" i="2"/>
  <c r="E244" i="2" s="1"/>
  <c r="F243" i="2"/>
  <c r="E243" i="2" s="1"/>
  <c r="F242" i="2"/>
  <c r="E242" i="2" s="1"/>
  <c r="F241" i="2"/>
  <c r="E241" i="2" s="1"/>
  <c r="F240" i="2"/>
  <c r="E240" i="2" s="1"/>
  <c r="F239" i="2"/>
  <c r="E239" i="2" s="1"/>
  <c r="F238" i="2"/>
  <c r="E238" i="2" s="1"/>
  <c r="F237" i="2"/>
  <c r="E237" i="2" s="1"/>
  <c r="F236" i="2"/>
  <c r="E236" i="2" s="1"/>
  <c r="F235" i="2"/>
  <c r="E235" i="2" s="1"/>
  <c r="F234" i="2"/>
  <c r="E234" i="2" s="1"/>
  <c r="F233" i="2"/>
  <c r="E233" i="2" s="1"/>
  <c r="F232" i="2"/>
  <c r="E232" i="2" s="1"/>
  <c r="F231" i="2"/>
  <c r="E231" i="2" s="1"/>
  <c r="F230" i="2"/>
  <c r="E230" i="2" s="1"/>
  <c r="F229" i="2"/>
  <c r="E229" i="2" s="1"/>
  <c r="F228" i="2"/>
  <c r="E228" i="2" s="1"/>
  <c r="F227" i="2"/>
  <c r="E227" i="2" s="1"/>
  <c r="F226" i="2"/>
  <c r="E226" i="2" s="1"/>
  <c r="F225" i="2"/>
  <c r="E225" i="2" s="1"/>
  <c r="F224" i="2"/>
  <c r="E224" i="2" s="1"/>
  <c r="F223" i="2"/>
  <c r="E223" i="2" s="1"/>
  <c r="F222" i="2"/>
  <c r="E222" i="2" s="1"/>
  <c r="F221" i="2"/>
  <c r="E221" i="2" s="1"/>
  <c r="F220" i="2"/>
  <c r="E220" i="2" s="1"/>
  <c r="F219" i="2"/>
  <c r="E219" i="2" s="1"/>
  <c r="F218" i="2"/>
  <c r="E218" i="2" s="1"/>
  <c r="F217" i="2"/>
  <c r="E217" i="2" s="1"/>
  <c r="F216" i="2"/>
  <c r="E216" i="2" s="1"/>
  <c r="F215" i="2"/>
  <c r="E215" i="2" s="1"/>
  <c r="F214" i="2"/>
  <c r="E214" i="2" s="1"/>
  <c r="F213" i="2"/>
  <c r="E213" i="2" s="1"/>
  <c r="F212" i="2"/>
  <c r="E212" i="2" s="1"/>
  <c r="F211" i="2"/>
  <c r="E211" i="2" s="1"/>
  <c r="F210" i="2"/>
  <c r="E210" i="2" s="1"/>
  <c r="F209" i="2"/>
  <c r="E209" i="2" s="1"/>
  <c r="F208" i="2"/>
  <c r="E208" i="2" s="1"/>
  <c r="F207" i="2"/>
  <c r="E207" i="2" s="1"/>
  <c r="F206" i="2"/>
  <c r="E206" i="2" s="1"/>
  <c r="E202" i="2"/>
  <c r="F204" i="2"/>
  <c r="E204" i="2" s="1"/>
  <c r="F203" i="2"/>
  <c r="E203" i="2" s="1"/>
  <c r="F202" i="2"/>
  <c r="I201" i="2"/>
  <c r="H201" i="2"/>
  <c r="F201" i="2"/>
  <c r="F200" i="2"/>
  <c r="E200" i="2" s="1"/>
  <c r="I199" i="2"/>
  <c r="H199" i="2"/>
  <c r="F199" i="2"/>
  <c r="F198" i="2"/>
  <c r="E198" i="2" s="1"/>
  <c r="I197" i="2"/>
  <c r="I205" i="2" s="1"/>
  <c r="H197" i="2"/>
  <c r="H205" i="2" s="1"/>
  <c r="F197" i="2"/>
  <c r="F196" i="2"/>
  <c r="E196" i="2" s="1"/>
  <c r="F138" i="2"/>
  <c r="F111" i="2"/>
  <c r="D20" i="1"/>
  <c r="D19" i="1"/>
  <c r="E246" i="2" l="1"/>
  <c r="I195" i="2"/>
  <c r="E197" i="2"/>
  <c r="E199" i="2"/>
  <c r="E201" i="2"/>
  <c r="H485" i="2"/>
  <c r="F475" i="2"/>
  <c r="H195" i="2"/>
  <c r="H530" i="2"/>
  <c r="F256" i="2"/>
  <c r="E476" i="2"/>
  <c r="E256" i="2"/>
  <c r="F205" i="2"/>
  <c r="E47" i="2"/>
  <c r="E50" i="2"/>
  <c r="H475" i="2" l="1"/>
  <c r="E205" i="2"/>
  <c r="E193" i="2" s="1"/>
  <c r="F195" i="2"/>
  <c r="D292" i="1" l="1"/>
  <c r="D201" i="1"/>
  <c r="D70" i="1" l="1"/>
  <c r="F94" i="2" l="1"/>
  <c r="F93" i="2"/>
  <c r="F469" i="2" l="1"/>
  <c r="E536" i="2" l="1"/>
  <c r="E538" i="2"/>
  <c r="E355" i="2"/>
  <c r="E309" i="2"/>
  <c r="E539" i="2" l="1"/>
  <c r="E531" i="2" s="1"/>
  <c r="E369" i="2"/>
  <c r="F564" i="2"/>
  <c r="E564" i="2" s="1"/>
  <c r="F565" i="2"/>
  <c r="E565" i="2" s="1"/>
  <c r="F566" i="2"/>
  <c r="E566" i="2" s="1"/>
  <c r="F567" i="2"/>
  <c r="F568" i="2"/>
  <c r="E568" i="2" s="1"/>
  <c r="F569" i="2"/>
  <c r="E569" i="2" s="1"/>
  <c r="F570" i="2"/>
  <c r="F571" i="2"/>
  <c r="E571" i="2" s="1"/>
  <c r="F572" i="2"/>
  <c r="E572" i="2" s="1"/>
  <c r="F573" i="2"/>
  <c r="E573" i="2" s="1"/>
  <c r="F574" i="2"/>
  <c r="F575" i="2"/>
  <c r="E575" i="2" s="1"/>
  <c r="F576" i="2"/>
  <c r="E576" i="2" s="1"/>
  <c r="F577" i="2"/>
  <c r="E577" i="2" s="1"/>
  <c r="F578" i="2"/>
  <c r="E578" i="2" s="1"/>
  <c r="F579" i="2"/>
  <c r="E579" i="2" s="1"/>
  <c r="F580" i="2"/>
  <c r="E580" i="2" s="1"/>
  <c r="F563" i="2"/>
  <c r="E563" i="2" s="1"/>
  <c r="F562" i="2"/>
  <c r="E562" i="2" s="1"/>
  <c r="F561" i="2"/>
  <c r="E561" i="2" s="1"/>
  <c r="E570" i="2"/>
  <c r="E574" i="2"/>
  <c r="F581" i="2" l="1"/>
  <c r="E581" i="2" s="1"/>
  <c r="E560" i="2" s="1"/>
  <c r="E567" i="2"/>
  <c r="E51" i="2" l="1"/>
  <c r="D37" i="1" l="1"/>
  <c r="D48" i="1" l="1"/>
  <c r="D348" i="1" l="1"/>
  <c r="F461" i="2" l="1"/>
  <c r="E461" i="2" s="1"/>
  <c r="E460" i="2" s="1"/>
  <c r="E182" i="2" l="1"/>
  <c r="E147" i="2"/>
  <c r="F107" i="2" l="1"/>
  <c r="E107" i="2" s="1"/>
  <c r="F106" i="2"/>
  <c r="E106" i="2" s="1"/>
  <c r="F105" i="2"/>
  <c r="E105" i="2" s="1"/>
  <c r="F104" i="2"/>
  <c r="E104" i="2" s="1"/>
  <c r="F103" i="2"/>
  <c r="E103" i="2" s="1"/>
  <c r="F101" i="2"/>
  <c r="E101" i="2" s="1"/>
  <c r="F100" i="2"/>
  <c r="E100" i="2" s="1"/>
  <c r="D331" i="1" l="1"/>
  <c r="D332" i="1"/>
  <c r="D66" i="1" l="1"/>
  <c r="D56" i="1" l="1"/>
  <c r="D61" i="1"/>
  <c r="D340" i="1" l="1"/>
  <c r="D360" i="1"/>
  <c r="D359" i="1"/>
  <c r="D358" i="1"/>
  <c r="D357" i="1"/>
  <c r="D356" i="1"/>
  <c r="D355" i="1"/>
  <c r="D354" i="1"/>
  <c r="D352" i="1"/>
  <c r="D351" i="1"/>
  <c r="D349" i="1"/>
  <c r="D347" i="1"/>
  <c r="D345" i="1"/>
  <c r="D344" i="1"/>
  <c r="D343" i="1"/>
  <c r="D342" i="1"/>
  <c r="D341" i="1"/>
  <c r="D339" i="1"/>
  <c r="D338" i="1"/>
  <c r="D337" i="1"/>
  <c r="D336" i="1"/>
  <c r="D361" i="1" l="1"/>
  <c r="D335" i="1" s="1"/>
  <c r="E429" i="2"/>
  <c r="E387" i="2"/>
  <c r="E384" i="2"/>
  <c r="D327" i="1"/>
  <c r="D243" i="1" l="1"/>
  <c r="D242" i="1" s="1"/>
  <c r="E53" i="2" l="1"/>
  <c r="F543" i="2" l="1"/>
  <c r="E543" i="2" s="1"/>
  <c r="E542" i="2" s="1"/>
  <c r="F96" i="2" l="1"/>
  <c r="E96" i="2" s="1"/>
  <c r="E94" i="2"/>
  <c r="E93" i="2"/>
  <c r="F72" i="2"/>
  <c r="E72" i="2" s="1"/>
  <c r="F71" i="2"/>
  <c r="E71" i="2" s="1"/>
  <c r="F70" i="2"/>
  <c r="F69" i="2"/>
  <c r="E69" i="2" s="1"/>
  <c r="F68" i="2"/>
  <c r="F67" i="2"/>
  <c r="E67" i="2" s="1"/>
  <c r="F61" i="2"/>
  <c r="E61" i="2" s="1"/>
  <c r="F65" i="2"/>
  <c r="E65" i="2" s="1"/>
  <c r="F64" i="2"/>
  <c r="E64" i="2" s="1"/>
  <c r="F63" i="2"/>
  <c r="E63" i="2" s="1"/>
  <c r="F62" i="2"/>
  <c r="E62" i="2" s="1"/>
  <c r="F60" i="2"/>
  <c r="F59" i="2"/>
  <c r="E59" i="2" s="1"/>
  <c r="F58" i="2"/>
  <c r="E58" i="2" s="1"/>
  <c r="E70" i="2"/>
  <c r="F90" i="2"/>
  <c r="E90" i="2" s="1"/>
  <c r="F89" i="2"/>
  <c r="E89" i="2" s="1"/>
  <c r="F88" i="2"/>
  <c r="E88" i="2" s="1"/>
  <c r="F87" i="2"/>
  <c r="E87" i="2" s="1"/>
  <c r="F86" i="2"/>
  <c r="E86" i="2" s="1"/>
  <c r="F85" i="2"/>
  <c r="E85" i="2" s="1"/>
  <c r="F84" i="2"/>
  <c r="E84" i="2" s="1"/>
  <c r="F82" i="2"/>
  <c r="E82" i="2" s="1"/>
  <c r="F81" i="2"/>
  <c r="E81" i="2" s="1"/>
  <c r="F80" i="2"/>
  <c r="E80" i="2" s="1"/>
  <c r="F79" i="2"/>
  <c r="E79" i="2" s="1"/>
  <c r="F78" i="2"/>
  <c r="E78" i="2" s="1"/>
  <c r="F77" i="2"/>
  <c r="E77" i="2" s="1"/>
  <c r="F76" i="2"/>
  <c r="F75" i="2"/>
  <c r="E75" i="2" s="1"/>
  <c r="F95" i="2" l="1"/>
  <c r="E95" i="2" s="1"/>
  <c r="F97" i="2"/>
  <c r="E97" i="2" s="1"/>
  <c r="F73" i="2"/>
  <c r="E73" i="2" s="1"/>
  <c r="F83" i="2"/>
  <c r="E83" i="2" s="1"/>
  <c r="F66" i="2"/>
  <c r="E66" i="2" s="1"/>
  <c r="F91" i="2"/>
  <c r="E91" i="2" s="1"/>
  <c r="E76" i="2"/>
  <c r="E60" i="2"/>
  <c r="E68" i="2"/>
  <c r="E92" i="2" l="1"/>
  <c r="E74" i="2"/>
  <c r="E57" i="2"/>
  <c r="D28" i="1"/>
  <c r="D42" i="1" l="1"/>
  <c r="D41" i="1" s="1"/>
  <c r="D40" i="1"/>
  <c r="D39" i="1" s="1"/>
  <c r="D22" i="1"/>
  <c r="D21" i="1"/>
  <c r="D240" i="1" l="1"/>
  <c r="D24" i="1" l="1"/>
  <c r="D23" i="1"/>
  <c r="H111" i="2" l="1"/>
  <c r="D32" i="1"/>
  <c r="E347" i="2" l="1"/>
  <c r="E336" i="2"/>
  <c r="E337" i="2"/>
  <c r="E330" i="2"/>
  <c r="F557" i="2" l="1"/>
  <c r="E557" i="2" l="1"/>
  <c r="F559" i="2"/>
  <c r="E559" i="2" s="1"/>
  <c r="E556" i="2" s="1"/>
  <c r="F471" i="2"/>
  <c r="E467" i="2" l="1"/>
  <c r="E466" i="2" s="1"/>
  <c r="E371" i="2" l="1"/>
  <c r="E372" i="2" s="1"/>
  <c r="E373" i="2"/>
  <c r="E374" i="2"/>
  <c r="E375" i="2"/>
  <c r="E376" i="2"/>
  <c r="E377" i="2"/>
  <c r="E378" i="2"/>
  <c r="E381" i="2"/>
  <c r="E379" i="2" l="1"/>
  <c r="E370" i="2" s="1"/>
  <c r="D302" i="1" l="1"/>
  <c r="D211" i="1"/>
  <c r="E351" i="2" l="1"/>
  <c r="E349" i="2"/>
  <c r="E342" i="2"/>
  <c r="E335" i="2"/>
  <c r="E334" i="2"/>
  <c r="E327" i="2"/>
  <c r="E322" i="2"/>
  <c r="E318" i="2"/>
  <c r="E313" i="2"/>
  <c r="E297" i="2"/>
  <c r="E295" i="2"/>
  <c r="E294" i="2"/>
  <c r="E289" i="2"/>
  <c r="E283" i="2"/>
  <c r="E38" i="2" l="1"/>
  <c r="E35" i="2"/>
  <c r="E30" i="2"/>
  <c r="F587" i="2" l="1"/>
  <c r="E55" i="2" l="1"/>
  <c r="E54" i="2"/>
  <c r="E49" i="2"/>
  <c r="E52" i="2" s="1"/>
  <c r="E56" i="2" l="1"/>
  <c r="E191" i="2"/>
  <c r="E190" i="2"/>
  <c r="E189" i="2"/>
  <c r="E188" i="2"/>
  <c r="E187" i="2"/>
  <c r="E186" i="2"/>
  <c r="E185" i="2"/>
  <c r="E183" i="2"/>
  <c r="E181" i="2"/>
  <c r="E180" i="2"/>
  <c r="E184" i="2"/>
  <c r="E179" i="2"/>
  <c r="E178" i="2"/>
  <c r="E177" i="2"/>
  <c r="E176" i="2"/>
  <c r="E175" i="2"/>
  <c r="E174" i="2"/>
  <c r="E173" i="2"/>
  <c r="E172" i="2"/>
  <c r="E171" i="2"/>
  <c r="E170" i="2"/>
  <c r="E169" i="2"/>
  <c r="E168" i="2"/>
  <c r="E167" i="2"/>
  <c r="E166" i="2"/>
  <c r="E165" i="2"/>
  <c r="E164" i="2"/>
  <c r="E163" i="2"/>
  <c r="E162" i="2"/>
  <c r="E161" i="2"/>
  <c r="E160" i="2"/>
  <c r="E159" i="2"/>
  <c r="E158" i="2"/>
  <c r="E156" i="2"/>
  <c r="E155" i="2"/>
  <c r="E154" i="2"/>
  <c r="E153" i="2"/>
  <c r="E152" i="2"/>
  <c r="E150" i="2"/>
  <c r="E151" i="2"/>
  <c r="E149" i="2"/>
  <c r="E148" i="2"/>
  <c r="E157" i="2" l="1"/>
  <c r="E192" i="2"/>
  <c r="E46" i="2"/>
  <c r="E146" i="2" l="1"/>
  <c r="D75" i="1"/>
  <c r="D57" i="1"/>
  <c r="D54" i="1"/>
  <c r="E354" i="2" l="1"/>
  <c r="E339" i="2"/>
  <c r="E326" i="2"/>
  <c r="E311" i="2"/>
  <c r="E310" i="2"/>
  <c r="E304" i="2"/>
  <c r="E296" i="2"/>
  <c r="F554" i="2" l="1"/>
  <c r="E554" i="2" l="1"/>
  <c r="F555" i="2"/>
  <c r="E555" i="2" s="1"/>
  <c r="E553" i="2" s="1"/>
  <c r="D288" i="1"/>
  <c r="D267" i="1"/>
  <c r="D197" i="1"/>
  <c r="H116" i="2" l="1"/>
  <c r="H115" i="2"/>
  <c r="H113" i="2"/>
  <c r="D30" i="1"/>
  <c r="D29" i="1" s="1"/>
  <c r="F545" i="2" l="1"/>
  <c r="D315" i="1" l="1"/>
  <c r="D224" i="1"/>
  <c r="D68" i="1" l="1"/>
  <c r="D62" i="1"/>
  <c r="D55" i="1"/>
  <c r="D58" i="1"/>
  <c r="D53" i="1"/>
  <c r="D65" i="1"/>
  <c r="D238" i="1" l="1"/>
  <c r="F541" i="2" l="1"/>
  <c r="F550" i="2" l="1"/>
  <c r="D160" i="1" l="1"/>
  <c r="D304" i="1" l="1"/>
  <c r="D213" i="1"/>
  <c r="D326" i="1" l="1"/>
  <c r="D248" i="1" l="1"/>
  <c r="D264" i="1" l="1"/>
  <c r="D36" i="1" l="1"/>
  <c r="D35" i="1" s="1"/>
  <c r="F137" i="2" l="1"/>
  <c r="F126" i="2"/>
  <c r="F124" i="2"/>
  <c r="D333" i="1" l="1"/>
  <c r="D334" i="1" s="1"/>
  <c r="D330" i="1" s="1"/>
  <c r="E345" i="2"/>
  <c r="E344" i="2"/>
  <c r="E341" i="2"/>
  <c r="E285" i="2"/>
  <c r="E280" i="2"/>
  <c r="D276" i="1" l="1"/>
  <c r="D259" i="1"/>
  <c r="D185" i="1"/>
  <c r="D169" i="1"/>
  <c r="D77" i="1" l="1"/>
  <c r="D76" i="1"/>
  <c r="D72" i="1"/>
  <c r="D312" i="1" l="1"/>
  <c r="D306" i="1"/>
  <c r="D281" i="1"/>
  <c r="D274" i="1"/>
  <c r="D272" i="1"/>
  <c r="D254" i="1"/>
  <c r="D221" i="1"/>
  <c r="D215" i="1"/>
  <c r="D190" i="1"/>
  <c r="D183" i="1"/>
  <c r="D181" i="1"/>
  <c r="D164" i="1"/>
  <c r="D78" i="1" l="1"/>
  <c r="D51" i="1"/>
  <c r="D260" i="1" l="1"/>
  <c r="D170" i="1"/>
  <c r="F267" i="2" l="1"/>
  <c r="E410" i="2" l="1"/>
  <c r="E547" i="2" l="1"/>
  <c r="E541" i="2" l="1"/>
  <c r="E540" i="2" s="1"/>
  <c r="D241" i="1"/>
  <c r="D287" i="1" l="1"/>
  <c r="D196" i="1"/>
  <c r="D63" i="1" l="1"/>
  <c r="D79" i="1"/>
  <c r="D67" i="1"/>
  <c r="E267" i="2" l="1"/>
  <c r="F270" i="2"/>
  <c r="E270" i="2" s="1"/>
  <c r="F269" i="2"/>
  <c r="E269" i="2" s="1"/>
  <c r="F268" i="2"/>
  <c r="E268" i="2" s="1"/>
  <c r="F266" i="2"/>
  <c r="E266" i="2" s="1"/>
  <c r="F265" i="2"/>
  <c r="E265" i="2" s="1"/>
  <c r="F264" i="2"/>
  <c r="F262" i="2"/>
  <c r="E262" i="2" s="1"/>
  <c r="F261" i="2"/>
  <c r="F260" i="2"/>
  <c r="E260" i="2" s="1"/>
  <c r="F259" i="2"/>
  <c r="E259" i="2" s="1"/>
  <c r="F258" i="2"/>
  <c r="E261" i="2"/>
  <c r="F271" i="2" l="1"/>
  <c r="E271" i="2" s="1"/>
  <c r="E264" i="2"/>
  <c r="E258" i="2"/>
  <c r="F263" i="2"/>
  <c r="E263" i="2" s="1"/>
  <c r="H548" i="2"/>
  <c r="H559" i="2" s="1"/>
  <c r="F546" i="2"/>
  <c r="E546" i="2" s="1"/>
  <c r="E257" i="2" l="1"/>
  <c r="D193" i="1"/>
  <c r="D252" i="1" l="1"/>
  <c r="D285" i="1"/>
  <c r="D194" i="1"/>
  <c r="D162" i="1"/>
  <c r="D313" i="1" l="1"/>
  <c r="D310" i="1"/>
  <c r="D295" i="1"/>
  <c r="D291" i="1"/>
  <c r="D282" i="1"/>
  <c r="D222" i="1"/>
  <c r="D219" i="1"/>
  <c r="D204" i="1"/>
  <c r="D200" i="1"/>
  <c r="D191" i="1"/>
  <c r="D236" i="1"/>
  <c r="D320" i="1" l="1"/>
  <c r="D319" i="1"/>
  <c r="D297" i="1"/>
  <c r="D294" i="1"/>
  <c r="D293" i="1"/>
  <c r="D229" i="1"/>
  <c r="D228" i="1"/>
  <c r="D206" i="1"/>
  <c r="D203" i="1"/>
  <c r="D202" i="1"/>
  <c r="E41" i="2" l="1"/>
  <c r="D50" i="1" l="1"/>
  <c r="D52" i="1" s="1"/>
  <c r="D73" i="1"/>
  <c r="D69" i="1"/>
  <c r="D64" i="1"/>
  <c r="D59" i="1"/>
  <c r="D266" i="1" l="1"/>
  <c r="D176" i="1"/>
  <c r="D123" i="1" l="1"/>
  <c r="F118" i="2" l="1"/>
  <c r="D318" i="1" l="1"/>
  <c r="D227" i="1"/>
  <c r="D26" i="1" l="1"/>
  <c r="D25" i="1"/>
  <c r="D298" i="1" l="1"/>
  <c r="D255" i="1"/>
  <c r="D207" i="1"/>
  <c r="D165" i="1"/>
  <c r="D321" i="1" l="1"/>
  <c r="D275" i="1"/>
  <c r="D230" i="1"/>
  <c r="D184" i="1"/>
  <c r="D71" i="1" l="1"/>
  <c r="D60" i="1"/>
  <c r="D309" i="1" l="1"/>
  <c r="D307" i="1"/>
  <c r="D271" i="1"/>
  <c r="D268" i="1"/>
  <c r="D218" i="1"/>
  <c r="D216" i="1"/>
  <c r="D180" i="1"/>
  <c r="D177" i="1"/>
  <c r="D324" i="1" l="1"/>
  <c r="D322" i="1"/>
  <c r="D299" i="1"/>
  <c r="D296" i="1"/>
  <c r="D289" i="1"/>
  <c r="D286" i="1"/>
  <c r="D257" i="1"/>
  <c r="D253" i="1"/>
  <c r="D233" i="1"/>
  <c r="D231" i="1"/>
  <c r="D208" i="1"/>
  <c r="D205" i="1"/>
  <c r="D198" i="1"/>
  <c r="D195" i="1"/>
  <c r="D167" i="1"/>
  <c r="D163" i="1"/>
  <c r="F116" i="2" l="1"/>
  <c r="E350" i="2" l="1"/>
  <c r="E356" i="2"/>
  <c r="E352" i="2"/>
  <c r="E348" i="2"/>
  <c r="E346" i="2"/>
  <c r="E343" i="2"/>
  <c r="E332" i="2"/>
  <c r="E328" i="2"/>
  <c r="E329" i="2"/>
  <c r="E324" i="2"/>
  <c r="E325" i="2"/>
  <c r="E323" i="2"/>
  <c r="E321" i="2"/>
  <c r="E320" i="2"/>
  <c r="E317" i="2"/>
  <c r="E315" i="2"/>
  <c r="E314" i="2"/>
  <c r="E308" i="2"/>
  <c r="E307" i="2"/>
  <c r="E306" i="2"/>
  <c r="E305" i="2"/>
  <c r="E303" i="2"/>
  <c r="E301" i="2"/>
  <c r="E300" i="2"/>
  <c r="E299" i="2"/>
  <c r="E298" i="2"/>
  <c r="E292" i="2"/>
  <c r="E291" i="2"/>
  <c r="E290" i="2"/>
  <c r="E279" i="2"/>
  <c r="E287" i="2" l="1"/>
  <c r="E358" i="2"/>
  <c r="E272" i="2" l="1"/>
  <c r="D284" i="1"/>
  <c r="D317" i="1"/>
  <c r="D316" i="1"/>
  <c r="D308" i="1"/>
  <c r="D303" i="1"/>
  <c r="D273" i="1"/>
  <c r="D226" i="1"/>
  <c r="D225" i="1"/>
  <c r="D217" i="1"/>
  <c r="D212" i="1"/>
  <c r="D182" i="1"/>
  <c r="D166" i="1"/>
  <c r="D329" i="1" l="1"/>
  <c r="D328" i="1" s="1"/>
  <c r="F366" i="2" l="1"/>
  <c r="E366" i="2" s="1"/>
  <c r="F365" i="2"/>
  <c r="E365" i="2" s="1"/>
  <c r="F364" i="2"/>
  <c r="E364" i="2" s="1"/>
  <c r="F363" i="2"/>
  <c r="E363" i="2" s="1"/>
  <c r="F362" i="2"/>
  <c r="E362" i="2" s="1"/>
  <c r="F361" i="2"/>
  <c r="F360" i="2"/>
  <c r="E360" i="2" s="1"/>
  <c r="F367" i="2" l="1"/>
  <c r="E367" i="2" s="1"/>
  <c r="E359" i="2" s="1"/>
  <c r="E361" i="2"/>
  <c r="D258" i="1"/>
  <c r="D261" i="1" s="1"/>
  <c r="D168" i="1"/>
  <c r="D171" i="1" s="1"/>
  <c r="D270" i="1" l="1"/>
  <c r="D269" i="1"/>
  <c r="D179" i="1"/>
  <c r="D178" i="1"/>
  <c r="D74" i="1" l="1"/>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8" i="2"/>
  <c r="E427" i="2"/>
  <c r="E426" i="2"/>
  <c r="E425" i="2"/>
  <c r="E424" i="2"/>
  <c r="E423" i="2"/>
  <c r="E422" i="2"/>
  <c r="E421" i="2"/>
  <c r="E420" i="2"/>
  <c r="E419" i="2"/>
  <c r="E418" i="2"/>
  <c r="E417" i="2"/>
  <c r="E416" i="2"/>
  <c r="E415" i="2"/>
  <c r="E414" i="2"/>
  <c r="E413" i="2"/>
  <c r="E412" i="2"/>
  <c r="E411" i="2"/>
  <c r="E409" i="2"/>
  <c r="E408" i="2"/>
  <c r="E407" i="2"/>
  <c r="E406" i="2"/>
  <c r="E405" i="2"/>
  <c r="E404" i="2"/>
  <c r="E403" i="2"/>
  <c r="E402" i="2"/>
  <c r="E401" i="2"/>
  <c r="E400" i="2"/>
  <c r="E399" i="2"/>
  <c r="E398" i="2"/>
  <c r="E397" i="2"/>
  <c r="E396" i="2"/>
  <c r="E395" i="2"/>
  <c r="E393" i="2"/>
  <c r="E392" i="2"/>
  <c r="E391" i="2"/>
  <c r="E390" i="2"/>
  <c r="E389" i="2"/>
  <c r="E388" i="2"/>
  <c r="E386" i="2"/>
  <c r="E385" i="2"/>
  <c r="E383" i="2"/>
  <c r="E382" i="2"/>
  <c r="F552" i="2" l="1"/>
  <c r="E552" i="2" s="1"/>
  <c r="E551" i="2" s="1"/>
  <c r="D246" i="1"/>
  <c r="D245" i="1" s="1"/>
  <c r="D237" i="1" l="1"/>
  <c r="D239" i="1" s="1"/>
  <c r="D235" i="1" s="1"/>
  <c r="D283" i="1" l="1"/>
  <c r="D263" i="1"/>
  <c r="D311" i="1"/>
  <c r="D305" i="1"/>
  <c r="D301" i="1"/>
  <c r="D290" i="1"/>
  <c r="D220" i="1"/>
  <c r="D214" i="1"/>
  <c r="D210" i="1"/>
  <c r="D199" i="1"/>
  <c r="D192" i="1"/>
  <c r="D173" i="1"/>
  <c r="D279" i="1" l="1"/>
  <c r="D188" i="1"/>
  <c r="D323" i="1" l="1"/>
  <c r="D300" i="1"/>
  <c r="D280" i="1"/>
  <c r="D278" i="1"/>
  <c r="D277" i="1"/>
  <c r="D265" i="1"/>
  <c r="D262" i="1"/>
  <c r="D232" i="1"/>
  <c r="D209" i="1"/>
  <c r="D189" i="1"/>
  <c r="D187" i="1"/>
  <c r="D186" i="1"/>
  <c r="D175" i="1"/>
  <c r="D172" i="1"/>
  <c r="D325" i="1" l="1"/>
  <c r="D251" i="1" s="1"/>
  <c r="D249" i="1" s="1"/>
  <c r="D234" i="1"/>
  <c r="D161" i="1" s="1"/>
  <c r="D247" i="1"/>
  <c r="D364" i="1" l="1"/>
  <c r="F108" i="2"/>
  <c r="F102" i="2"/>
  <c r="E108" i="2" l="1"/>
  <c r="E102" i="2"/>
  <c r="E530" i="2" l="1"/>
  <c r="E485" i="2"/>
  <c r="F122" i="2"/>
  <c r="E473" i="2" l="1"/>
  <c r="E545" i="2"/>
  <c r="F548" i="2"/>
  <c r="E548" i="2" s="1"/>
  <c r="E544" i="2" s="1"/>
  <c r="D159" i="1"/>
  <c r="D154" i="1" l="1"/>
  <c r="D140" i="1"/>
  <c r="D106" i="1"/>
  <c r="D87" i="1"/>
  <c r="E45" i="2" l="1"/>
  <c r="E24" i="2"/>
  <c r="E12" i="2" l="1"/>
  <c r="H45" i="2"/>
  <c r="F45" i="2"/>
  <c r="D17" i="1" l="1"/>
  <c r="E368" i="2" l="1"/>
  <c r="I145" i="2" l="1"/>
  <c r="F145" i="2"/>
  <c r="E143" i="2"/>
  <c r="E144" i="2"/>
  <c r="E126" i="2"/>
  <c r="E127" i="2"/>
  <c r="E128" i="2"/>
  <c r="E129" i="2"/>
  <c r="E130" i="2"/>
  <c r="E131" i="2"/>
  <c r="E132" i="2"/>
  <c r="E133" i="2"/>
  <c r="E134" i="2"/>
  <c r="E135" i="2"/>
  <c r="E136" i="2"/>
  <c r="E137" i="2"/>
  <c r="E138" i="2"/>
  <c r="E139" i="2"/>
  <c r="E140" i="2"/>
  <c r="E141" i="2"/>
  <c r="E142" i="2"/>
  <c r="F125" i="2"/>
  <c r="E117" i="2"/>
  <c r="E118" i="2"/>
  <c r="E119" i="2"/>
  <c r="E120" i="2"/>
  <c r="E121" i="2"/>
  <c r="E122" i="2"/>
  <c r="E123" i="2"/>
  <c r="E124" i="2"/>
  <c r="E114" i="2"/>
  <c r="E112" i="2"/>
  <c r="H145" i="2" l="1"/>
  <c r="G145" i="2"/>
  <c r="F110" i="2"/>
  <c r="E113" i="2"/>
  <c r="E111" i="2"/>
  <c r="E116" i="2"/>
  <c r="H125" i="2" l="1"/>
  <c r="H110" i="2" s="1"/>
  <c r="E145" i="2"/>
  <c r="E115" i="2"/>
  <c r="E125" i="2" s="1"/>
  <c r="E550" i="2"/>
  <c r="E549" i="2" s="1"/>
  <c r="E109" i="2" l="1"/>
  <c r="D157" i="1"/>
  <c r="D156" i="1"/>
  <c r="D155" i="1"/>
  <c r="D153" i="1"/>
  <c r="D152" i="1"/>
  <c r="D151" i="1"/>
  <c r="D150" i="1"/>
  <c r="D149" i="1"/>
  <c r="D148" i="1"/>
  <c r="D147" i="1"/>
  <c r="D146" i="1"/>
  <c r="D145" i="1"/>
  <c r="D143" i="1"/>
  <c r="D142" i="1"/>
  <c r="D141" i="1"/>
  <c r="D139" i="1"/>
  <c r="D138" i="1"/>
  <c r="D137" i="1"/>
  <c r="D136" i="1"/>
  <c r="D135" i="1"/>
  <c r="D134" i="1"/>
  <c r="D133" i="1"/>
  <c r="D132" i="1"/>
  <c r="D131" i="1"/>
  <c r="D130" i="1"/>
  <c r="D129" i="1"/>
  <c r="D128" i="1"/>
  <c r="D127" i="1"/>
  <c r="D126" i="1"/>
  <c r="D125" i="1"/>
  <c r="D124" i="1"/>
  <c r="D122" i="1"/>
  <c r="D121" i="1"/>
  <c r="D120" i="1"/>
  <c r="D119" i="1"/>
  <c r="D118" i="1"/>
  <c r="D117" i="1"/>
  <c r="D116" i="1"/>
  <c r="D115" i="1"/>
  <c r="D114" i="1"/>
  <c r="D113" i="1"/>
  <c r="D112" i="1"/>
  <c r="D111" i="1"/>
  <c r="D110" i="1"/>
  <c r="D109" i="1"/>
  <c r="D108" i="1"/>
  <c r="D105" i="1"/>
  <c r="D104" i="1"/>
  <c r="D103" i="1"/>
  <c r="D101" i="1"/>
  <c r="D100" i="1"/>
  <c r="D99" i="1"/>
  <c r="D98" i="1"/>
  <c r="D97" i="1"/>
  <c r="D96" i="1"/>
  <c r="D95" i="1"/>
  <c r="D92" i="1"/>
  <c r="D91" i="1"/>
  <c r="D90" i="1"/>
  <c r="D89" i="1"/>
  <c r="D88" i="1"/>
  <c r="D85" i="1"/>
  <c r="D84" i="1"/>
  <c r="D83" i="1"/>
  <c r="D82" i="1"/>
  <c r="D80" i="1" l="1"/>
  <c r="D49" i="1" s="1"/>
  <c r="D47" i="1"/>
  <c r="D86" i="1" l="1"/>
  <c r="D93" i="1" s="1"/>
  <c r="D46" i="1" l="1"/>
  <c r="D45" i="1" s="1"/>
  <c r="D16" i="1" l="1"/>
  <c r="F591" i="2" l="1"/>
  <c r="F589" i="2"/>
  <c r="D102" i="1"/>
  <c r="D158" i="1" s="1"/>
  <c r="E589" i="2" l="1"/>
  <c r="E588" i="2" s="1"/>
  <c r="E465" i="2" l="1"/>
  <c r="E464" i="2" s="1"/>
  <c r="E585" i="2" l="1"/>
  <c r="E584" i="2" s="1"/>
  <c r="E583" i="2" l="1"/>
  <c r="E582" i="2" s="1"/>
  <c r="E587" i="2" l="1"/>
  <c r="E586" i="2" s="1"/>
  <c r="E591" i="2" l="1"/>
  <c r="E590" i="2" s="1"/>
  <c r="E594" i="2" s="1"/>
  <c r="E98" i="2" l="1"/>
  <c r="D31" i="1" l="1"/>
  <c r="D81" i="1" l="1"/>
  <c r="D43" i="1" s="1"/>
  <c r="D15" i="1" l="1"/>
  <c r="E463" i="2" l="1"/>
  <c r="E462" i="2" s="1"/>
  <c r="E469" i="2" l="1"/>
  <c r="E471" i="2" l="1"/>
  <c r="E470" i="2" s="1"/>
  <c r="E468" i="2" l="1"/>
  <c r="E459" i="2" l="1"/>
  <c r="D33" i="1" l="1"/>
  <c r="D27" i="1"/>
  <c r="D363" i="1" s="1"/>
  <c r="E394" i="2" l="1"/>
  <c r="E380" i="2" s="1"/>
  <c r="E593" i="2" s="1"/>
  <c r="D362" i="1" l="1"/>
  <c r="E592" i="2" l="1"/>
</calcChain>
</file>

<file path=xl/sharedStrings.xml><?xml version="1.0" encoding="utf-8"?>
<sst xmlns="http://schemas.openxmlformats.org/spreadsheetml/2006/main" count="1325" uniqueCount="311">
  <si>
    <t>Обласний бюджет</t>
  </si>
  <si>
    <t>Державний бюджет</t>
  </si>
  <si>
    <t>Код бюджету</t>
  </si>
  <si>
    <t>(код бюджету)</t>
  </si>
  <si>
    <t>з них</t>
  </si>
  <si>
    <t>Додаток 5</t>
  </si>
  <si>
    <t>Бюджет Дубовиківської сільської територіальної громади</t>
  </si>
  <si>
    <t xml:space="preserve">Бюджет Глеюватської сільської територіальної громади </t>
  </si>
  <si>
    <t xml:space="preserve">Бюджет Затишнянської сільської територіальної громади </t>
  </si>
  <si>
    <t xml:space="preserve">Бюджет Магдалинівської селищної територіальної громади </t>
  </si>
  <si>
    <t xml:space="preserve">Бюджет Обухівської селищної територіальної громади </t>
  </si>
  <si>
    <t xml:space="preserve">Бюджет Чернеччинської сільської територіальної громади </t>
  </si>
  <si>
    <t xml:space="preserve">Бюджет Підгородненської міської територіальної громади </t>
  </si>
  <si>
    <t xml:space="preserve">Бюджет Черкаської селищної територіальної громади </t>
  </si>
  <si>
    <t>Бюджет Брагинівської сільської територіальної громади</t>
  </si>
  <si>
    <t>Бюджет Вільногірської міської територіальної громади</t>
  </si>
  <si>
    <t>Бюджет Губиниської селищної територіальної громади</t>
  </si>
  <si>
    <t xml:space="preserve">Бюджет Дніпровської міської територіальної громади </t>
  </si>
  <si>
    <t>Бюджет Жовтоводської міської територіальної громади</t>
  </si>
  <si>
    <t>Бюджет Криворізької міської територіальної громади</t>
  </si>
  <si>
    <t>Бюджет Лозуватської сільської територіальної громади</t>
  </si>
  <si>
    <t>Бюджет Нікопольської міської територіальної громади</t>
  </si>
  <si>
    <t>Бюджет Новомосковської міської територіальної громади</t>
  </si>
  <si>
    <t>Бюджет Новопільської сільської територіальної громади</t>
  </si>
  <si>
    <t>Бюджет Павлоградської міської територіальної громади</t>
  </si>
  <si>
    <t>Бюджет Першотравенської міської територіальної громади</t>
  </si>
  <si>
    <t>Бюджет Петропавлівської селищної територіальної громади</t>
  </si>
  <si>
    <t>Бюджет Покровської сільської територіальної громади</t>
  </si>
  <si>
    <t>Бюджет П’ятихатської міської територіальної громади</t>
  </si>
  <si>
    <t>Бюджет Синельниківської міської територіальної громади</t>
  </si>
  <si>
    <t>Бюджет Тернівської міської територіальної громади</t>
  </si>
  <si>
    <t xml:space="preserve">Бюджет Марганецької міської територіальної громади </t>
  </si>
  <si>
    <t xml:space="preserve">Бюджет Покровської міської територіальної громади </t>
  </si>
  <si>
    <t>Бюджет Апостолівської міської територіальної громади</t>
  </si>
  <si>
    <t xml:space="preserve">Бюджет Богданівської сільської територіальної громади </t>
  </si>
  <si>
    <t xml:space="preserve">Бюджет Божедарівської селищної територіальної громади </t>
  </si>
  <si>
    <t xml:space="preserve">Бюджет Вербківської сільської територіальної громади </t>
  </si>
  <si>
    <t xml:space="preserve">Бюджет Святовасилівської сільської територіальної громади </t>
  </si>
  <si>
    <t xml:space="preserve">Бюджет Вакулівської сільської територіальної громади </t>
  </si>
  <si>
    <t xml:space="preserve">Бюджет Зеленодольської міської територіальної громади </t>
  </si>
  <si>
    <t xml:space="preserve">Бюджет Грушівської сільської територіальної громади </t>
  </si>
  <si>
    <t xml:space="preserve">Бюджет Могилівської сільської територіальної громади </t>
  </si>
  <si>
    <t xml:space="preserve">Бюджет Нивотрудівської сільської територіальної громади </t>
  </si>
  <si>
    <t xml:space="preserve">Бюджет Новопокровської селищної територіальної громади </t>
  </si>
  <si>
    <t xml:space="preserve">Бюджет Солонянської селищної територіальної громади </t>
  </si>
  <si>
    <t xml:space="preserve">Бюджет Слобожанської селищної територіальної громади </t>
  </si>
  <si>
    <t xml:space="preserve">Бюджет Мирівської сільської територіальної громади </t>
  </si>
  <si>
    <t xml:space="preserve">Бюджет Васильківської селищної територіальної громади </t>
  </si>
  <si>
    <t xml:space="preserve">Бюджет Вишнівської селищної територіальної громади </t>
  </si>
  <si>
    <t xml:space="preserve">Бюджет Криничанської селищної територіальної громади </t>
  </si>
  <si>
    <t xml:space="preserve">Бюджет Лихівської селищної територіальної громади </t>
  </si>
  <si>
    <t xml:space="preserve">Бюджет Покровської селищної територіальної громади </t>
  </si>
  <si>
    <t xml:space="preserve">Бюджет Роздорської селищної територіальної громади </t>
  </si>
  <si>
    <t xml:space="preserve">Бюджет Софіївської селищної  територіальної громади </t>
  </si>
  <si>
    <t xml:space="preserve">Бюджет Томаківської селищної територіальної громади </t>
  </si>
  <si>
    <t xml:space="preserve">Бюджет Царичанської селищної територіальної громади </t>
  </si>
  <si>
    <t xml:space="preserve">Бюджет Великомихайлівської сільської територіальної громади </t>
  </si>
  <si>
    <t xml:space="preserve">Бюджет Гречаноподівської сільської територіальної громади </t>
  </si>
  <si>
    <t xml:space="preserve">Бюджет Маломихайлівської сільської територіальної громади </t>
  </si>
  <si>
    <t xml:space="preserve">Бюджет Новолатівської сільської територіальної громади </t>
  </si>
  <si>
    <t xml:space="preserve">Бюджет Верхньодніпровської міської територіальної громади  </t>
  </si>
  <si>
    <t xml:space="preserve">Бюджет Межівської селищної територіальної громади </t>
  </si>
  <si>
    <t xml:space="preserve">Бюджет Червоногригорівської селищної територіальної громади </t>
  </si>
  <si>
    <t xml:space="preserve">Бюджет Троїцької сільської територіальної громади </t>
  </si>
  <si>
    <t xml:space="preserve">Бюджет Петриківської селищної територіальної громади </t>
  </si>
  <si>
    <t xml:space="preserve">Бюджет Раївської сільської територіальної громади </t>
  </si>
  <si>
    <t xml:space="preserve">Бюджет Іларіонівської селищної територіальної громади </t>
  </si>
  <si>
    <t xml:space="preserve">Бюджет Карпівської сільської територіальної громади </t>
  </si>
  <si>
    <t xml:space="preserve">Бюджет Широківської селищної територіальної громади </t>
  </si>
  <si>
    <t xml:space="preserve">Бюджет Юр’ївської селищної територіальної громади </t>
  </si>
  <si>
    <t xml:space="preserve">Бюджет Любимівської сільської територіальної громади </t>
  </si>
  <si>
    <t xml:space="preserve">Бюджет Української сільської територіальної громади </t>
  </si>
  <si>
    <t xml:space="preserve">Бюджет Саксаганської сільської територіальної громади </t>
  </si>
  <si>
    <t xml:space="preserve">Бюджет Девладівської сільської територіальної громади </t>
  </si>
  <si>
    <t>Бюджет Личківської сільської територіальної громади</t>
  </si>
  <si>
    <t>Бюджет Перещепинської міської територіальної громади</t>
  </si>
  <si>
    <t>Бюджет Піщанської сільської територіальної громади</t>
  </si>
  <si>
    <t xml:space="preserve">Бюджет Першотравневської сільської територіальної громади </t>
  </si>
  <si>
    <t xml:space="preserve">Бюджет Межиріцької сільської територіальної громади </t>
  </si>
  <si>
    <t xml:space="preserve">Бюджет Новоолександрівської сільської територіальної громади </t>
  </si>
  <si>
    <t>Разом по бюджетах  територіальних громад</t>
  </si>
  <si>
    <t>Усього</t>
  </si>
  <si>
    <t>загальний фонд</t>
  </si>
  <si>
    <t>спеціальний фонд</t>
  </si>
  <si>
    <t xml:space="preserve">Найменування трансферту /
Найменування бюджету – надавача міжбюджетного трансферту
                                                                                 </t>
  </si>
  <si>
    <t>2. Показники міжбюджетних трансфертів іншим бюджетам</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</si>
  <si>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</si>
  <si>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</si>
  <si>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1</t>
  </si>
  <si>
    <t>0919270</t>
  </si>
  <si>
    <t>0819770</t>
  </si>
  <si>
    <t>УСЬОГО за розділами І,ІІ, у тому числі:</t>
  </si>
  <si>
    <t>Код Програмної класифікації видатків та кредитування місцевого бюджету / Код бюджету</t>
  </si>
  <si>
    <t xml:space="preserve"> І. Трансферти із загального фонду бюджету</t>
  </si>
  <si>
    <t>1. Показники міжбюджетних трансфертів з інших бюджетів</t>
  </si>
  <si>
    <t xml:space="preserve"> І. Трансферти до загального фонду бюджету</t>
  </si>
  <si>
    <t xml:space="preserve">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 </t>
  </si>
  <si>
    <t xml:space="preserve">Разом по бюджетах міських територіальних громад з адміністративним центром у місті обласного значення </t>
  </si>
  <si>
    <t>Код Класифікації доходу бюджету /
Код бюджету</t>
  </si>
  <si>
    <t xml:space="preserve">Бюджет Миколаївської сільської територіальної громади (Синельниківський район) </t>
  </si>
  <si>
    <t>Бюджет Миколаївської сільської територіальної громади (Дніпровський район)</t>
  </si>
  <si>
    <t>3719150</t>
  </si>
  <si>
    <t xml:space="preserve">Інші дотації з місцевого бюджету </t>
  </si>
  <si>
    <t>Субвенція з державного бюджету місцевим бюджетам на здійснення підтримки окремих закладів та заходів у системі охорони здоров’я</t>
  </si>
  <si>
    <t>(грн)</t>
  </si>
  <si>
    <t xml:space="preserve"> видатки споживання</t>
  </si>
  <si>
    <t>Субвенція з місцевого бюджету державному бюджету на виконання програм соціально-економічного розвитку регіонів</t>
  </si>
  <si>
    <t>2919800</t>
  </si>
  <si>
    <t>2219800</t>
  </si>
  <si>
    <t>3719800</t>
  </si>
  <si>
    <t>Субвенція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</si>
  <si>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0410000000</t>
  </si>
  <si>
    <t>Бюджет Верхівцевської міської територіальної громади</t>
  </si>
  <si>
    <t>Інші субвенції з місцевого бюджету,</t>
  </si>
  <si>
    <t>у тому числі:</t>
  </si>
  <si>
    <t>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t>
  </si>
  <si>
    <t>Освітня субвенція з державного бюджету місцевим бюджетам</t>
  </si>
  <si>
    <t>0619310</t>
  </si>
  <si>
    <t>Субвенція з місцевого бюджету на здійснення переданих видатків у сфері освіти за рахунок коштів освітньої субвенції</t>
  </si>
  <si>
    <t>0453600000</t>
  </si>
  <si>
    <t>0119770</t>
  </si>
  <si>
    <t xml:space="preserve"> ІІ. Трансферти із спеціального фонду бюджету</t>
  </si>
  <si>
    <t>УСЬОГО за розділами І, ІІ, у тому числі:</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</si>
  <si>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</si>
  <si>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Бюджет Слов’янської сільської територіальної громади</t>
  </si>
  <si>
    <t xml:space="preserve">Бюджет Кам’янської міської територіальної громади </t>
  </si>
  <si>
    <t>на заходи програми “Регіональна програма забезпечення громадського порядку та громадської безпеки на території Дніпропетровської області на період до 2025 рокуˮ</t>
  </si>
  <si>
    <t xml:space="preserve">  Міжбюджетні трансферти на 2024 рік</t>
  </si>
  <si>
    <t>Субвенція з обласного бюджету бюджетам територіальних громад на виконання доручень виборців депутатами обласної ради у 2024 році</t>
  </si>
  <si>
    <t>на забезпечення офтальмологічної допомоги населенню міста</t>
  </si>
  <si>
    <t>0457600000</t>
  </si>
  <si>
    <t>0457400000</t>
  </si>
  <si>
    <t>0457700000</t>
  </si>
  <si>
    <t>0457810000</t>
  </si>
  <si>
    <t>0458400000</t>
  </si>
  <si>
    <t>0458900000</t>
  </si>
  <si>
    <t>0459100000</t>
  </si>
  <si>
    <t>0458500000</t>
  </si>
  <si>
    <t>0456200000</t>
  </si>
  <si>
    <t>0450200000</t>
  </si>
  <si>
    <t>0451800000</t>
  </si>
  <si>
    <t>0457200000</t>
  </si>
  <si>
    <t>0450500000</t>
  </si>
  <si>
    <t>0451900000</t>
  </si>
  <si>
    <t>0450300000</t>
  </si>
  <si>
    <t>0457300000</t>
  </si>
  <si>
    <t>0452000000</t>
  </si>
  <si>
    <t>0456300000</t>
  </si>
  <si>
    <t>0453000000</t>
  </si>
  <si>
    <t>0455600000</t>
  </si>
  <si>
    <t>0453500000</t>
  </si>
  <si>
    <t>0454500000</t>
  </si>
  <si>
    <t>Бюджет Зайцівської сільської територіальної громади</t>
  </si>
  <si>
    <t>0456400000</t>
  </si>
  <si>
    <t>0454700000</t>
  </si>
  <si>
    <t>0455000000</t>
  </si>
  <si>
    <t>0454900000</t>
  </si>
  <si>
    <t xml:space="preserve">Бюджет Китайгородської сільської територіальної громади </t>
  </si>
  <si>
    <t>0452100000</t>
  </si>
  <si>
    <t>0452200000</t>
  </si>
  <si>
    <t>0455700000</t>
  </si>
  <si>
    <t>0457900000</t>
  </si>
  <si>
    <t>0455300000</t>
  </si>
  <si>
    <t>0450800000</t>
  </si>
  <si>
    <t xml:space="preserve">Бюджет Ляшківської сільської територіальної громади </t>
  </si>
  <si>
    <t>0456500000</t>
  </si>
  <si>
    <t>0454100000</t>
  </si>
  <si>
    <t>0458000000</t>
  </si>
  <si>
    <t>0454400000</t>
  </si>
  <si>
    <t>0450900000</t>
  </si>
  <si>
    <t>0451000000</t>
  </si>
  <si>
    <t>0453200000</t>
  </si>
  <si>
    <t>0451100000</t>
  </si>
  <si>
    <t>0458300000</t>
  </si>
  <si>
    <t>0451200000</t>
  </si>
  <si>
    <t>0456600000</t>
  </si>
  <si>
    <t>0454300000</t>
  </si>
  <si>
    <t>0458600000</t>
  </si>
  <si>
    <t>0455800000</t>
  </si>
  <si>
    <t>0453900000</t>
  </si>
  <si>
    <t>0456800000</t>
  </si>
  <si>
    <t>0455900000</t>
  </si>
  <si>
    <t>0458800000</t>
  </si>
  <si>
    <t>0452400000</t>
  </si>
  <si>
    <t>0455500000</t>
  </si>
  <si>
    <t>0450400000</t>
  </si>
  <si>
    <t>0451500000</t>
  </si>
  <si>
    <t>0459000000</t>
  </si>
  <si>
    <t>0451300000</t>
  </si>
  <si>
    <t>0452500000</t>
  </si>
  <si>
    <t>0451400000</t>
  </si>
  <si>
    <t xml:space="preserve">Бюджет Сурсько-Литовської сільської територіальної громади </t>
  </si>
  <si>
    <t>0452600000</t>
  </si>
  <si>
    <t>0454200000</t>
  </si>
  <si>
    <t>0455400000</t>
  </si>
  <si>
    <t>0452700000</t>
  </si>
  <si>
    <t>0456700000</t>
  </si>
  <si>
    <t>0456000000</t>
  </si>
  <si>
    <t>Бюджет Чумаківської сільської територіальної громади</t>
  </si>
  <si>
    <t>0455200000</t>
  </si>
  <si>
    <t>Комунальному підприємству “Обласний центр екстреної медичної допомоги та медицини катастроф” Дніпропетровської обласної ради для удосконалення надання екстреної медичної допомоги</t>
  </si>
  <si>
    <t>1219770</t>
  </si>
  <si>
    <t>видатки розвитку</t>
  </si>
  <si>
    <t>на інклюзивно-ресурсні центри</t>
  </si>
  <si>
    <t>на приватні школи</t>
  </si>
  <si>
    <t>0619770</t>
  </si>
  <si>
    <t>Субвенція з обласного бюджету до бюджету Криворізької міської територіальної громади на здійснення заходів з демонтажу будівлі закладу освіти, пошкодженої внаслідок збройної агресії Російської Федерації проти України, на вул. Ярослава Мудрого, 81</t>
  </si>
  <si>
    <t>0450100000</t>
  </si>
  <si>
    <t>0457500000</t>
  </si>
  <si>
    <t xml:space="preserve">Бюджет Славгородської селищної територіальної громади </t>
  </si>
  <si>
    <t>0454800000</t>
  </si>
  <si>
    <t>Субвенція з обласного бюджету місцевим бюджетам на забезпечення окремих видатків районних рад, спрямованих на виконання їх повноважень</t>
  </si>
  <si>
    <t>Районний бюджет Дніпровського району</t>
  </si>
  <si>
    <t>Районний бюджет Криворізького району</t>
  </si>
  <si>
    <t>Районний бюджет Нікопольського району</t>
  </si>
  <si>
    <t>Районний бюджет Новомосковського району</t>
  </si>
  <si>
    <t>Районний бюджет Павлоградського району</t>
  </si>
  <si>
    <t>Районний бюджет Синельниківського району</t>
  </si>
  <si>
    <t>Районний бюджет Кам’янського району</t>
  </si>
  <si>
    <t>Разом по бюджетах районних рад</t>
  </si>
  <si>
    <t>0430420000</t>
  </si>
  <si>
    <t>0430520000</t>
  </si>
  <si>
    <t>0430920000</t>
  </si>
  <si>
    <t>0431020000</t>
  </si>
  <si>
    <t>0431120000</t>
  </si>
  <si>
    <t>0431620000</t>
  </si>
  <si>
    <t>0432320000</t>
  </si>
  <si>
    <t xml:space="preserve">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2023 - 2027 роки  </t>
  </si>
  <si>
    <t>на заходи програми “Програма територіальної оборони Дніпропетровської області та забезпечення заходів мобілізації на 2022 - 2024 рокиˮ</t>
  </si>
  <si>
    <t>на заходи програми “Регіональна цільова програма захисту населення і територій від надзвичайних ситуацій техногенного та природного характеру, забезпечення пожежної безпеки Дніпропетровської області на 2021 - 2025 рокиˮ</t>
  </si>
  <si>
    <t>Cубвенція з обласного бюджету до бюджету Криворізької міської територіальної громади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</si>
  <si>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на утримання осіб з інвалідністю міста Дніпро, які мають розлади спектру аутизму</t>
  </si>
  <si>
    <t>0457100000</t>
  </si>
  <si>
    <t>0458700000</t>
  </si>
  <si>
    <t>Додаткова дотація з державного бюджету місцевим бюджетам на компенсацію комунальним закладам, державним закладам освіти, що передані на фінансування з місцевих бюджетів, та закладам спільної власності територіальних громад області та району, що перебувають в управлінні обласних та районних рад</t>
  </si>
  <si>
    <t>0819150</t>
  </si>
  <si>
    <t>0458200000</t>
  </si>
  <si>
    <t>0450700000</t>
  </si>
  <si>
    <t>0454600000</t>
  </si>
  <si>
    <t>0457000000</t>
  </si>
  <si>
    <t>на виконання Програми розвитку освіти Петриківщини на 2024-2026 роки для Професійно-технічного училища № 79</t>
  </si>
  <si>
    <t>0719770</t>
  </si>
  <si>
    <t>Субвенція з обласного бюджету до місцевих бюджетів на капітальні видатки та облаштування об’єктів соціально-культурної сфери</t>
  </si>
  <si>
    <t>0619320</t>
  </si>
  <si>
    <t>Субвенція з місцевого бюджету за рахунок залишку коштів освітньої субвенції,  що утворився на початок бюджетного періоду</t>
  </si>
  <si>
    <t xml:space="preserve"> ІІ. Трансферти до спеціального фонду бюджету</t>
  </si>
  <si>
    <t>Субвенція з державного бюджету місцевим бюджетам на реалізацію проектів в рамках Програми з відновлення України</t>
  </si>
  <si>
    <t>на виконання заходів регіональної Програми забезпечення громадського порядку та громадської безпеки на території Дніпропетровської області на період до 2025 року</t>
  </si>
  <si>
    <t>0455100000</t>
  </si>
  <si>
    <t>на виконання заходів Програми територіальної оборони Дніпропетровської області та забезпечення заходів мобілізації на 2022-2024 роки</t>
  </si>
  <si>
    <t>Субвенція з державного бюджету місцевим бюджетам на реалізацію проектів в рамках Надзвичайної кредитної програми для відновлення України</t>
  </si>
  <si>
    <t>Субвенція з обласного бюджету до місцевих бюджетів на соціально-економічний розвиток окремих територій</t>
  </si>
  <si>
    <t xml:space="preserve">на виконання заходів Програми “Розвиток профтехосвіти на території Царичанської селищної ради на 2024-2027 роки” </t>
  </si>
  <si>
    <t>0453300000</t>
  </si>
  <si>
    <t xml:space="preserve">Бюджет Новопавлівської сільської територіальної громади </t>
  </si>
  <si>
    <t>0453700000</t>
  </si>
  <si>
    <t>Субвенція з державного бюджету місцевим бюджетам на виконання окремих заходів з реалізації соціального проекту “Активні парки - локації здорової України”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</si>
  <si>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</si>
  <si>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</si>
  <si>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0450600000</t>
  </si>
  <si>
    <t>Субвенція з місцевого бюджету на співфінансування інвестиційних проектів</t>
  </si>
  <si>
    <t>1519750</t>
  </si>
  <si>
    <t>0454000000</t>
  </si>
  <si>
    <t>на реалізацію інших заходів щодо соціально-економічного розвитку територій</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</si>
  <si>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</si>
  <si>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</si>
  <si>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9330</t>
  </si>
  <si>
    <t>0619330</t>
  </si>
  <si>
    <t>Субвенція з державного бюджету місцевим бюджетам на створення навчально-практичних центрів сучасної професійної (професійно-технічної) освіти</t>
  </si>
  <si>
    <t>Бюджет Високопільської селищної територіальної громади</t>
  </si>
  <si>
    <t>Бюджет Калинівської селищної територіальної громади</t>
  </si>
  <si>
    <t>Комунальному закладу “Стародобровільський ПНІ” ДОР на облаштування найпростішого укриття, яке знаходиться під будівлею житлового корпусу</t>
  </si>
  <si>
    <t>Cубвенція з обласного бюджету до місцевих бюджетів на облаштування приміщень, які плануються до використання для укриття учнів та працівників закладів загальної середньої освіти</t>
  </si>
  <si>
    <t>на заходи програми “Програма впровадження державної політики органами виконавчої влади у Дніпропетровській області 
на 2016 - 2025 рокиˮ</t>
  </si>
  <si>
    <t>на заходи програми “Програма розвитку місцевого самоврядування у Дніпропетровській області 
на 2012 - 2026 рокиˮ</t>
  </si>
  <si>
    <t>Субвенція з державного бюджету місцевим бюджетам на придбання шкільних автобусів</t>
  </si>
  <si>
    <t>0819242</t>
  </si>
  <si>
    <t>9242</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</si>
  <si>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</si>
  <si>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</si>
  <si>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</si>
  <si>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</si>
  <si>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</si>
  <si>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</si>
  <si>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9770</t>
  </si>
  <si>
    <t>Субвенція бюджету Дніпровської міської територіальної громади на виготовлення проектно-кошторисної документації на капітальний ремонт будівлі гуртожитку № 7 Державного професійно-технічного навчального закладу “Дніпровський центр професійно-технічної освіти”</t>
  </si>
  <si>
    <t>0819243</t>
  </si>
  <si>
    <t>0819241</t>
  </si>
  <si>
    <t>на придбання матеріалів для поточного ремонту покрівлі гуртожитку №1 Васильківського професійно-технічного училища</t>
  </si>
  <si>
    <t>на співфінансування на придбання шкільних автобусів</t>
  </si>
  <si>
    <t>видатки споживання</t>
  </si>
  <si>
    <t>субвенція з обласного бюджету до бюджетів територіальних громад Херсонської області на поточний ремонт житлового фонду та об’єктів комунальної власності громад, у тому числі придбання матеріалів, заміну вікон (дверей) та оплату інших супутніх заходів (послуг), пов’язаних з відновленням пошкодженого внаслідок бойових дій майна</t>
  </si>
  <si>
    <t xml:space="preserve">Бюджет Лозуватської сільської територіальної громади </t>
  </si>
  <si>
    <t>Бюджет Могилівської сільської територіальної громади</t>
  </si>
  <si>
    <t xml:space="preserve">Бюджет Перещепинської міської територіальної громади </t>
  </si>
  <si>
    <t>Субвенція з державного бюджету місцевим бюджетам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</si>
  <si>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тому числі:</t>
  </si>
  <si>
    <t>0619350</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</si>
  <si>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</si>
  <si>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засобів навчання та обладнання, мультимедійного та комп’ютерного обладнання, меблів для навчальних кабінетів пілотних закладів освіти</t>
  </si>
  <si>
    <t>навчальної та навчально-методичної літератури, у тому числі її електронних версій та з аудіосупроводом, для учнів та педагогічних працівників пілотних закладів освіти</t>
  </si>
  <si>
    <t>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здобуття освіти</t>
  </si>
  <si>
    <t>Субвенція з обласного бюджету місцевим бюджетам для придбання мобільних автоматизованих робочих місць адміністратора Центру надання адміністративних послуг</t>
  </si>
  <si>
    <t>на заходи програми “Програма розвитку й підтримки сфери надання адміністративних послуг у Дніпропетровській області на 2024 – 2026 роки”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</si>
  <si>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</si>
  <si>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засобів навчання та комп’ютерного обладнання для оснащення навчальних кабінетів предмета “Захист України”</t>
  </si>
  <si>
    <t>мультимедійного обладнання</t>
  </si>
  <si>
    <t xml:space="preserve">до рішення обласної ради </t>
  </si>
  <si>
    <t xml:space="preserve">Субвенція з обласного бюджету до бюджетів територіальних громад Херсонської області на капітальні видатки (у тому числі виготовлення проєктно-кошторисної документації) для реалізації заходів, пов’язаних із відновленням пошкодженого/зруйнованого внаслідок бойових дій майна </t>
  </si>
  <si>
    <t xml:space="preserve">             Заступник голови обласної ради </t>
  </si>
  <si>
    <t xml:space="preserve">                      І. КАШИРІН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</si>
</sst>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00000000"/>
    <numFmt numFmtId="166" formatCode="#,##0.00_ ;[Red]\-#,##0.00\ "/>
  </numFmts>
  <fonts count="14" x14ac:knownFonts="1">
    <font>
      <sz val="10"/>
      <name val="Arial"/>
      <family val="2"/>
      <charset val="204"/>
    </font>
    <font>
      <sz val="10"/>
      <name val="Arial"/>
      <family val="2"/>
      <charset val="204"/>
    </font>
    <font>
      <sz val="14"/>
      <name val="Times New Roman"/>
      <family val="1"/>
      <charset val="204"/>
    </font>
    <font>
      <b/>
      <sz val="18"/>
      <name val="Times New Roman"/>
      <family val="1"/>
      <charset val="204"/>
    </font>
    <font>
      <b/>
      <sz val="14"/>
      <name val="Times New Roman"/>
      <family val="1"/>
      <charset val="204"/>
    </font>
    <font>
      <b/>
      <sz val="16"/>
      <name val="Times New Roman"/>
      <family val="1"/>
      <charset val="204"/>
    </font>
    <font>
      <sz val="16"/>
      <name val="Times New Roman"/>
      <family val="1"/>
      <charset val="204"/>
    </font>
    <font>
      <b/>
      <sz val="22"/>
      <name val="Times New Roman"/>
      <family val="1"/>
      <charset val="204"/>
    </font>
    <font>
      <sz val="22"/>
      <name val="Times New Roman"/>
      <family val="1"/>
      <charset val="204"/>
    </font>
    <font>
      <sz val="18"/>
      <name val="Times New Roman"/>
      <family val="1"/>
      <charset val="204"/>
    </font>
    <font>
      <b/>
      <sz val="18"/>
      <color rgb="FF000000"/>
      <name val="Times New Roman"/>
      <family val="1"/>
      <charset val="204"/>
    </font>
    <font>
      <u/>
      <sz val="18"/>
      <name val="Times New Roman"/>
      <family val="1"/>
      <charset val="204"/>
    </font>
    <font>
      <sz val="11"/>
      <color rgb="FF000000"/>
      <name val="Calibri"/>
      <family val="2"/>
      <scheme val="minor"/>
    </font>
    <font>
      <sz val="10"/>
      <color indexed="8"/>
      <name val="Arial"/>
      <family val="2"/>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0" fontId="1" fillId="0" borderId="0"/>
    <xf numFmtId="164" fontId="1" fillId="0" borderId="0" applyFont="0" applyFill="0" applyBorder="0" applyAlignment="0" applyProtection="0"/>
    <xf numFmtId="0" fontId="12" fillId="0" borderId="0"/>
    <xf numFmtId="0" fontId="13" fillId="0" borderId="0">
      <alignment vertical="top"/>
    </xf>
  </cellStyleXfs>
  <cellXfs count="146">
    <xf numFmtId="0" fontId="0" fillId="0" borderId="0" xfId="0"/>
    <xf numFmtId="0" fontId="2" fillId="0" borderId="0" xfId="0" applyFont="1" applyFill="1"/>
    <xf numFmtId="0" fontId="2" fillId="0" borderId="0" xfId="0" applyFont="1" applyFill="1" applyBorder="1"/>
    <xf numFmtId="0" fontId="2" fillId="0" borderId="0" xfId="0" applyFont="1" applyFill="1" applyAlignment="1">
      <alignment horizontal="center"/>
    </xf>
    <xf numFmtId="0" fontId="4" fillId="0" borderId="0" xfId="0" applyFont="1" applyFill="1" applyBorder="1"/>
    <xf numFmtId="4" fontId="4" fillId="0" borderId="0" xfId="0" applyNumberFormat="1" applyFont="1" applyFill="1" applyBorder="1"/>
    <xf numFmtId="164" fontId="4" fillId="0" borderId="0" xfId="4" applyFont="1" applyFill="1" applyBorder="1"/>
    <xf numFmtId="4" fontId="2" fillId="0" borderId="0" xfId="0" applyNumberFormat="1" applyFont="1" applyFill="1"/>
    <xf numFmtId="0" fontId="4" fillId="0" borderId="0" xfId="0" applyFont="1" applyFill="1"/>
    <xf numFmtId="0" fontId="6" fillId="0" borderId="0" xfId="0" applyFont="1" applyFill="1" applyBorder="1"/>
    <xf numFmtId="4" fontId="6" fillId="0" borderId="0" xfId="0" applyNumberFormat="1" applyFont="1" applyFill="1" applyBorder="1"/>
    <xf numFmtId="0" fontId="8" fillId="0" borderId="0" xfId="0" applyFont="1" applyFill="1"/>
    <xf numFmtId="4" fontId="2" fillId="0" borderId="0" xfId="0" applyNumberFormat="1" applyFont="1" applyFill="1" applyAlignment="1">
      <alignment horizontal="left"/>
    </xf>
    <xf numFmtId="165" fontId="2" fillId="0" borderId="1" xfId="0" applyNumberFormat="1" applyFont="1" applyFill="1" applyBorder="1" applyAlignment="1">
      <alignment horizontal="left"/>
    </xf>
    <xf numFmtId="165" fontId="4" fillId="0" borderId="1" xfId="0" applyNumberFormat="1" applyFont="1" applyFill="1" applyBorder="1" applyAlignment="1">
      <alignment horizontal="left"/>
    </xf>
    <xf numFmtId="0" fontId="9" fillId="0" borderId="0" xfId="0" applyFont="1" applyFill="1"/>
    <xf numFmtId="0" fontId="9" fillId="0" borderId="0" xfId="0" applyFont="1" applyFill="1" applyBorder="1" applyAlignment="1">
      <alignment horizontal="right" vertical="center" wrapText="1"/>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vertical="center"/>
    </xf>
    <xf numFmtId="4" fontId="2" fillId="0" borderId="1" xfId="0" applyNumberFormat="1" applyFont="1" applyFill="1" applyBorder="1" applyAlignment="1">
      <alignment vertical="center"/>
    </xf>
    <xf numFmtId="4" fontId="3" fillId="0" borderId="1" xfId="0" applyNumberFormat="1" applyFont="1" applyFill="1" applyBorder="1" applyAlignment="1">
      <alignment horizontal="right" vertical="center" wrapText="1"/>
    </xf>
    <xf numFmtId="4" fontId="9" fillId="0" borderId="1" xfId="0" applyNumberFormat="1" applyFont="1" applyFill="1" applyBorder="1" applyAlignment="1">
      <alignment horizontal="right" vertical="center" wrapText="1"/>
    </xf>
    <xf numFmtId="4" fontId="3"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4" fillId="0" borderId="2" xfId="0" applyFont="1" applyFill="1" applyBorder="1" applyAlignment="1">
      <alignment horizontal="left" vertical="center" wrapText="1"/>
    </xf>
    <xf numFmtId="4" fontId="2" fillId="0" borderId="0" xfId="0" applyNumberFormat="1" applyFont="1" applyFill="1" applyAlignment="1">
      <alignment horizontal="center"/>
    </xf>
    <xf numFmtId="4" fontId="2" fillId="0" borderId="2" xfId="0" applyNumberFormat="1" applyFont="1" applyFill="1" applyBorder="1" applyAlignment="1">
      <alignment horizontal="right" vertical="center" wrapText="1"/>
    </xf>
    <xf numFmtId="4" fontId="4" fillId="0" borderId="2" xfId="0" applyNumberFormat="1" applyFont="1" applyFill="1" applyBorder="1" applyAlignment="1">
      <alignment horizontal="right" vertical="center" wrapText="1"/>
    </xf>
    <xf numFmtId="49" fontId="2" fillId="0" borderId="1" xfId="0" applyNumberFormat="1" applyFont="1" applyFill="1" applyBorder="1" applyAlignment="1">
      <alignment horizontal="left" wrapText="1"/>
    </xf>
    <xf numFmtId="4" fontId="3" fillId="0" borderId="5" xfId="0" applyNumberFormat="1" applyFont="1" applyFill="1" applyBorder="1" applyAlignment="1">
      <alignment vertical="center" wrapText="1"/>
    </xf>
    <xf numFmtId="4" fontId="5" fillId="0" borderId="1" xfId="0" applyNumberFormat="1" applyFont="1" applyFill="1" applyBorder="1" applyAlignment="1">
      <alignment horizontal="right" vertical="center" wrapText="1"/>
    </xf>
    <xf numFmtId="164" fontId="2" fillId="0" borderId="0" xfId="4" applyFont="1" applyFill="1" applyAlignment="1">
      <alignment horizontal="center"/>
    </xf>
    <xf numFmtId="166" fontId="4"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4" fontId="9" fillId="0" borderId="0" xfId="0" applyNumberFormat="1" applyFont="1" applyFill="1" applyBorder="1" applyAlignment="1">
      <alignment horizontal="left"/>
    </xf>
    <xf numFmtId="0" fontId="3"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4" fontId="4" fillId="0" borderId="2" xfId="0" applyNumberFormat="1" applyFont="1" applyFill="1" applyBorder="1" applyAlignment="1">
      <alignment horizontal="right" vertical="center"/>
    </xf>
    <xf numFmtId="0" fontId="2"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4" fontId="2" fillId="0" borderId="0" xfId="0" applyNumberFormat="1" applyFont="1" applyFill="1" applyBorder="1" applyAlignment="1">
      <alignment horizontal="right"/>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9" fillId="0" borderId="4" xfId="0" applyFont="1" applyFill="1" applyBorder="1" applyAlignment="1">
      <alignment vertical="center" wrapText="1"/>
    </xf>
    <xf numFmtId="49" fontId="9" fillId="0" borderId="4"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4" fontId="9" fillId="0" borderId="0" xfId="0" applyNumberFormat="1" applyFont="1" applyFill="1" applyBorder="1" applyAlignment="1">
      <alignment horizontal="left"/>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0" borderId="0" xfId="0" applyNumberFormat="1" applyFont="1" applyFill="1" applyBorder="1" applyAlignment="1">
      <alignment horizontal="center"/>
    </xf>
    <xf numFmtId="0" fontId="9" fillId="0" borderId="0" xfId="0" applyFont="1" applyFill="1" applyBorder="1" applyAlignment="1">
      <alignment horizont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4"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left"/>
    </xf>
    <xf numFmtId="4" fontId="4" fillId="0" borderId="4"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2" fillId="0" borderId="0" xfId="0" applyNumberFormat="1" applyFont="1" applyFill="1" applyBorder="1" applyAlignment="1">
      <alignment horizontal="right"/>
    </xf>
    <xf numFmtId="3" fontId="7" fillId="0" borderId="0" xfId="0" applyNumberFormat="1" applyFont="1" applyFill="1" applyBorder="1" applyAlignment="1">
      <alignment horizontal="left" wrapText="1"/>
    </xf>
    <xf numFmtId="3" fontId="7" fillId="0" borderId="0" xfId="0" applyNumberFormat="1" applyFont="1" applyFill="1" applyBorder="1" applyAlignment="1">
      <alignment horizontal="right" wrapText="1"/>
    </xf>
    <xf numFmtId="4" fontId="7" fillId="0" borderId="0" xfId="0" applyNumberFormat="1" applyFont="1" applyFill="1" applyBorder="1" applyAlignment="1">
      <alignment horizontal="center" wrapText="1"/>
    </xf>
    <xf numFmtId="4" fontId="4" fillId="0" borderId="4"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4" fontId="2" fillId="0" borderId="4" xfId="0"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 fontId="2" fillId="0" borderId="5"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3" fontId="2" fillId="0" borderId="4"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4" fontId="4" fillId="0" borderId="2" xfId="0" applyNumberFormat="1" applyFont="1" applyFill="1" applyBorder="1" applyAlignment="1">
      <alignment horizontal="right" vertical="center"/>
    </xf>
    <xf numFmtId="4" fontId="4" fillId="0" borderId="14" xfId="0" applyNumberFormat="1" applyFont="1" applyFill="1" applyBorder="1" applyAlignment="1">
      <alignment horizontal="right" vertical="center"/>
    </xf>
    <xf numFmtId="4" fontId="2" fillId="0" borderId="6"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11" xfId="0" applyNumberFormat="1" applyFont="1" applyFill="1" applyBorder="1" applyAlignment="1">
      <alignment horizontal="center" vertical="center" wrapText="1"/>
    </xf>
    <xf numFmtId="4" fontId="2" fillId="0" borderId="8" xfId="0" applyNumberFormat="1" applyFont="1" applyFill="1" applyBorder="1" applyAlignment="1">
      <alignment horizontal="center" vertical="center" wrapText="1"/>
    </xf>
    <xf numFmtId="4" fontId="2" fillId="0" borderId="13" xfId="0" applyNumberFormat="1" applyFont="1" applyFill="1" applyBorder="1" applyAlignment="1">
      <alignment horizontal="center" vertical="center" wrapText="1"/>
    </xf>
    <xf numFmtId="4" fontId="2" fillId="0" borderId="9"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4" fontId="4" fillId="0" borderId="15" xfId="0" applyNumberFormat="1" applyFont="1" applyFill="1" applyBorder="1" applyAlignment="1">
      <alignment horizontal="right" vertical="center"/>
    </xf>
  </cellXfs>
  <cellStyles count="7">
    <cellStyle name="Normal" xfId="5"/>
    <cellStyle name="Звичайний_Додаток _ 3 зм_ни 4575" xfId="6"/>
    <cellStyle name="Обычный" xfId="0" builtinId="0"/>
    <cellStyle name="Обычный 2" xfId="1"/>
    <cellStyle name="Обычный 4" xfId="2"/>
    <cellStyle name="Обычный 5" xfId="3"/>
    <cellStyle name="Финансовый" xfId="4" builtinId="3"/>
  </cellStyles>
  <dxfs count="0"/>
  <tableStyles count="0" defaultTableStyle="TableStyleMedium2" defaultPivotStyle="PivotStyleLight16"/>
  <colors>
    <mruColors>
      <color rgb="FF8EBDCC"/>
      <color rgb="FF993366"/>
      <color rgb="FF72CED0"/>
      <color rgb="FFD75F62"/>
      <color rgb="FF990033"/>
      <color rgb="FFE5FB9D"/>
      <color rgb="FFF5F880"/>
      <color rgb="FFFF5050"/>
      <color rgb="FFE8FA7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
  <sheetViews>
    <sheetView showZeros="0" tabSelected="1" view="pageBreakPreview" zoomScale="70" zoomScaleNormal="25" zoomScaleSheetLayoutView="70" workbookViewId="0">
      <pane xSplit="3" ySplit="13" topLeftCell="D20" activePane="bottomRight" state="frozen"/>
      <selection pane="topRight" activeCell="D1" sqref="D1"/>
      <selection pane="bottomLeft" activeCell="A13" sqref="A13"/>
      <selection pane="bottomRight" activeCell="F21" sqref="F21"/>
    </sheetView>
  </sheetViews>
  <sheetFormatPr defaultColWidth="9.140625" defaultRowHeight="18.75" x14ac:dyDescent="0.3"/>
  <cols>
    <col min="1" max="1" width="22.42578125" style="1" customWidth="1"/>
    <col min="2" max="2" width="132" style="1" customWidth="1"/>
    <col min="3" max="3" width="22.5703125" style="1" customWidth="1"/>
    <col min="4" max="4" width="27.7109375" style="1" customWidth="1"/>
    <col min="5" max="5" width="27.5703125" style="1" customWidth="1"/>
    <col min="6" max="6" width="22.140625" style="1" bestFit="1" customWidth="1"/>
    <col min="7" max="16384" width="9.140625" style="1"/>
  </cols>
  <sheetData>
    <row r="1" spans="1:4" ht="26.25" customHeight="1" x14ac:dyDescent="0.35">
      <c r="C1" s="72" t="s">
        <v>5</v>
      </c>
      <c r="D1" s="72"/>
    </row>
    <row r="2" spans="1:4" ht="27.75" customHeight="1" x14ac:dyDescent="0.35">
      <c r="C2" s="72" t="s">
        <v>307</v>
      </c>
      <c r="D2" s="72"/>
    </row>
    <row r="3" spans="1:4" ht="23.25" x14ac:dyDescent="0.35">
      <c r="C3" s="72"/>
      <c r="D3" s="72"/>
    </row>
    <row r="4" spans="1:4" ht="56.25" customHeight="1" x14ac:dyDescent="0.35">
      <c r="C4" s="41"/>
      <c r="D4" s="41"/>
    </row>
    <row r="5" spans="1:4" ht="27.75" customHeight="1" x14ac:dyDescent="0.3">
      <c r="A5" s="73" t="s">
        <v>127</v>
      </c>
      <c r="B5" s="73"/>
      <c r="C5" s="73"/>
      <c r="D5" s="73"/>
    </row>
    <row r="6" spans="1:4" ht="33" customHeight="1" x14ac:dyDescent="0.35">
      <c r="A6" s="15"/>
      <c r="B6" s="76" t="s">
        <v>111</v>
      </c>
      <c r="C6" s="76"/>
      <c r="D6" s="15"/>
    </row>
    <row r="7" spans="1:4" ht="23.25" x14ac:dyDescent="0.35">
      <c r="A7" s="15"/>
      <c r="B7" s="77" t="s">
        <v>3</v>
      </c>
      <c r="C7" s="77"/>
      <c r="D7" s="15"/>
    </row>
    <row r="8" spans="1:4" ht="29.25" customHeight="1" x14ac:dyDescent="0.3">
      <c r="A8" s="74" t="s">
        <v>94</v>
      </c>
      <c r="B8" s="74"/>
      <c r="C8" s="74"/>
      <c r="D8" s="74"/>
    </row>
    <row r="9" spans="1:4" ht="23.25" x14ac:dyDescent="0.3">
      <c r="A9" s="42"/>
      <c r="B9" s="42"/>
      <c r="C9" s="42"/>
      <c r="D9" s="16" t="s">
        <v>104</v>
      </c>
    </row>
    <row r="10" spans="1:4" s="2" customFormat="1" x14ac:dyDescent="0.3">
      <c r="A10" s="75" t="s">
        <v>98</v>
      </c>
      <c r="B10" s="75" t="s">
        <v>84</v>
      </c>
      <c r="C10" s="75"/>
      <c r="D10" s="75" t="s">
        <v>81</v>
      </c>
    </row>
    <row r="11" spans="1:4" s="2" customFormat="1" x14ac:dyDescent="0.3">
      <c r="A11" s="75"/>
      <c r="B11" s="75"/>
      <c r="C11" s="75"/>
      <c r="D11" s="75"/>
    </row>
    <row r="12" spans="1:4" s="2" customFormat="1" ht="78.75" customHeight="1" x14ac:dyDescent="0.3">
      <c r="A12" s="75"/>
      <c r="B12" s="75"/>
      <c r="C12" s="75"/>
      <c r="D12" s="75"/>
    </row>
    <row r="13" spans="1:4" s="3" customFormat="1" ht="30.75" customHeight="1" x14ac:dyDescent="0.3">
      <c r="A13" s="43">
        <v>1</v>
      </c>
      <c r="B13" s="75">
        <v>2</v>
      </c>
      <c r="C13" s="75"/>
      <c r="D13" s="43">
        <v>3</v>
      </c>
    </row>
    <row r="14" spans="1:4" s="3" customFormat="1" ht="39.950000000000003" customHeight="1" x14ac:dyDescent="0.3">
      <c r="A14" s="78" t="s">
        <v>95</v>
      </c>
      <c r="B14" s="79"/>
      <c r="C14" s="79"/>
      <c r="D14" s="80"/>
    </row>
    <row r="15" spans="1:4" s="3" customFormat="1" ht="51.75" customHeight="1" x14ac:dyDescent="0.3">
      <c r="A15" s="40">
        <v>41020200</v>
      </c>
      <c r="B15" s="66" t="s">
        <v>115</v>
      </c>
      <c r="C15" s="66"/>
      <c r="D15" s="24">
        <f>D16</f>
        <v>184174900</v>
      </c>
    </row>
    <row r="16" spans="1:4" s="3" customFormat="1" ht="31.5" customHeight="1" x14ac:dyDescent="0.3">
      <c r="A16" s="39">
        <v>9900000000</v>
      </c>
      <c r="B16" s="61" t="s">
        <v>1</v>
      </c>
      <c r="C16" s="62"/>
      <c r="D16" s="25">
        <f>184174900</f>
        <v>184174900</v>
      </c>
    </row>
    <row r="17" spans="1:6" s="3" customFormat="1" ht="99" customHeight="1" x14ac:dyDescent="0.3">
      <c r="A17" s="40">
        <v>41021300</v>
      </c>
      <c r="B17" s="66" t="s">
        <v>234</v>
      </c>
      <c r="C17" s="66"/>
      <c r="D17" s="24">
        <f>D18</f>
        <v>32461564</v>
      </c>
    </row>
    <row r="18" spans="1:6" s="3" customFormat="1" ht="31.5" customHeight="1" x14ac:dyDescent="0.3">
      <c r="A18" s="39">
        <v>9900000000</v>
      </c>
      <c r="B18" s="61" t="s">
        <v>1</v>
      </c>
      <c r="C18" s="62"/>
      <c r="D18" s="25">
        <f>2709178+12200904+6174572+4971954+3054142+1212211+1099234+1039369</f>
        <v>32461564</v>
      </c>
      <c r="F18" s="35"/>
    </row>
    <row r="19" spans="1:6" s="3" customFormat="1" ht="99" customHeight="1" x14ac:dyDescent="0.3">
      <c r="A19" s="40">
        <v>41021400</v>
      </c>
      <c r="B19" s="66" t="s">
        <v>304</v>
      </c>
      <c r="C19" s="66"/>
      <c r="D19" s="24">
        <f>D20</f>
        <v>37455000</v>
      </c>
    </row>
    <row r="20" spans="1:6" s="3" customFormat="1" ht="31.5" customHeight="1" x14ac:dyDescent="0.3">
      <c r="A20" s="39">
        <v>9900000000</v>
      </c>
      <c r="B20" s="61" t="s">
        <v>1</v>
      </c>
      <c r="C20" s="62"/>
      <c r="D20" s="25">
        <f>37455000</f>
        <v>37455000</v>
      </c>
      <c r="F20" s="35"/>
    </row>
    <row r="21" spans="1:6" s="3" customFormat="1" ht="261" customHeight="1" x14ac:dyDescent="0.3">
      <c r="A21" s="40">
        <v>41030500</v>
      </c>
      <c r="B21" s="66" t="s">
        <v>283</v>
      </c>
      <c r="C21" s="66"/>
      <c r="D21" s="24">
        <f>D22</f>
        <v>408610395</v>
      </c>
      <c r="F21" s="29"/>
    </row>
    <row r="22" spans="1:6" s="3" customFormat="1" ht="33" customHeight="1" x14ac:dyDescent="0.3">
      <c r="A22" s="39">
        <v>9900000000</v>
      </c>
      <c r="B22" s="61" t="s">
        <v>1</v>
      </c>
      <c r="C22" s="62"/>
      <c r="D22" s="25">
        <f>408610395</f>
        <v>408610395</v>
      </c>
    </row>
    <row r="23" spans="1:6" s="3" customFormat="1" ht="34.5" customHeight="1" x14ac:dyDescent="0.3">
      <c r="A23" s="40">
        <v>41031900</v>
      </c>
      <c r="B23" s="66" t="s">
        <v>275</v>
      </c>
      <c r="C23" s="66"/>
      <c r="D23" s="24">
        <f>D24</f>
        <v>117757000</v>
      </c>
      <c r="F23" s="29"/>
    </row>
    <row r="24" spans="1:6" s="3" customFormat="1" ht="33" customHeight="1" x14ac:dyDescent="0.3">
      <c r="A24" s="39">
        <v>9900000000</v>
      </c>
      <c r="B24" s="61" t="s">
        <v>1</v>
      </c>
      <c r="C24" s="62"/>
      <c r="D24" s="25">
        <f>117757000</f>
        <v>117757000</v>
      </c>
    </row>
    <row r="25" spans="1:6" s="3" customFormat="1" ht="66" customHeight="1" x14ac:dyDescent="0.3">
      <c r="A25" s="40">
        <v>41032900</v>
      </c>
      <c r="B25" s="66" t="s">
        <v>256</v>
      </c>
      <c r="C25" s="66"/>
      <c r="D25" s="24">
        <f>D26</f>
        <v>1257700</v>
      </c>
      <c r="F25" s="29"/>
    </row>
    <row r="26" spans="1:6" s="3" customFormat="1" ht="33" customHeight="1" x14ac:dyDescent="0.3">
      <c r="A26" s="39">
        <v>9900000000</v>
      </c>
      <c r="B26" s="61" t="s">
        <v>1</v>
      </c>
      <c r="C26" s="62"/>
      <c r="D26" s="25">
        <f>1257700</f>
        <v>1257700</v>
      </c>
    </row>
    <row r="27" spans="1:6" s="3" customFormat="1" ht="66" customHeight="1" x14ac:dyDescent="0.3">
      <c r="A27" s="40">
        <v>41033000</v>
      </c>
      <c r="B27" s="66" t="s">
        <v>103</v>
      </c>
      <c r="C27" s="66"/>
      <c r="D27" s="24">
        <f>D28</f>
        <v>358256470</v>
      </c>
    </row>
    <row r="28" spans="1:6" s="3" customFormat="1" ht="33" customHeight="1" x14ac:dyDescent="0.3">
      <c r="A28" s="39">
        <v>9900000000</v>
      </c>
      <c r="B28" s="61" t="s">
        <v>1</v>
      </c>
      <c r="C28" s="62"/>
      <c r="D28" s="25">
        <f>163331700+194924770</f>
        <v>358256470</v>
      </c>
      <c r="F28" s="29"/>
    </row>
    <row r="29" spans="1:6" s="3" customFormat="1" ht="61.5" customHeight="1" x14ac:dyDescent="0.3">
      <c r="A29" s="40">
        <v>41033800</v>
      </c>
      <c r="B29" s="66" t="s">
        <v>268</v>
      </c>
      <c r="C29" s="66"/>
      <c r="D29" s="24">
        <f>D30</f>
        <v>36291400</v>
      </c>
    </row>
    <row r="30" spans="1:6" s="3" customFormat="1" ht="33" customHeight="1" x14ac:dyDescent="0.3">
      <c r="A30" s="39">
        <v>9900000000</v>
      </c>
      <c r="B30" s="61" t="s">
        <v>1</v>
      </c>
      <c r="C30" s="62"/>
      <c r="D30" s="25">
        <f>36291400</f>
        <v>36291400</v>
      </c>
    </row>
    <row r="31" spans="1:6" s="3" customFormat="1" ht="36" customHeight="1" x14ac:dyDescent="0.3">
      <c r="A31" s="40">
        <v>41033900</v>
      </c>
      <c r="B31" s="66" t="s">
        <v>116</v>
      </c>
      <c r="C31" s="66"/>
      <c r="D31" s="24">
        <f>D32</f>
        <v>822993300</v>
      </c>
    </row>
    <row r="32" spans="1:6" s="3" customFormat="1" ht="33" customHeight="1" x14ac:dyDescent="0.3">
      <c r="A32" s="39">
        <v>9900000000</v>
      </c>
      <c r="B32" s="61" t="s">
        <v>1</v>
      </c>
      <c r="C32" s="62"/>
      <c r="D32" s="25">
        <f>823233800-240500</f>
        <v>822993300</v>
      </c>
    </row>
    <row r="33" spans="1:6" s="3" customFormat="1" ht="102.75" customHeight="1" x14ac:dyDescent="0.3">
      <c r="A33" s="40">
        <v>41034400</v>
      </c>
      <c r="B33" s="70" t="s">
        <v>110</v>
      </c>
      <c r="C33" s="71"/>
      <c r="D33" s="24">
        <f>D34</f>
        <v>96207360</v>
      </c>
    </row>
    <row r="34" spans="1:6" s="3" customFormat="1" ht="33" customHeight="1" x14ac:dyDescent="0.3">
      <c r="A34" s="39">
        <v>9900000000</v>
      </c>
      <c r="B34" s="61" t="s">
        <v>1</v>
      </c>
      <c r="C34" s="62"/>
      <c r="D34" s="25">
        <f>10224200+85983160</f>
        <v>96207360</v>
      </c>
    </row>
    <row r="35" spans="1:6" s="3" customFormat="1" ht="49.5" customHeight="1" x14ac:dyDescent="0.3">
      <c r="A35" s="40">
        <v>41035400</v>
      </c>
      <c r="B35" s="70" t="s">
        <v>264</v>
      </c>
      <c r="C35" s="71"/>
      <c r="D35" s="24">
        <f>D36</f>
        <v>18674000</v>
      </c>
    </row>
    <row r="36" spans="1:6" s="3" customFormat="1" ht="33" customHeight="1" x14ac:dyDescent="0.3">
      <c r="A36" s="39">
        <v>9900000000</v>
      </c>
      <c r="B36" s="61" t="s">
        <v>1</v>
      </c>
      <c r="C36" s="62"/>
      <c r="D36" s="25">
        <f>18674000</f>
        <v>18674000</v>
      </c>
    </row>
    <row r="37" spans="1:6" s="3" customFormat="1" ht="54" customHeight="1" x14ac:dyDescent="0.3">
      <c r="A37" s="40">
        <v>41037200</v>
      </c>
      <c r="B37" s="70" t="s">
        <v>295</v>
      </c>
      <c r="C37" s="71"/>
      <c r="D37" s="24">
        <f>D38</f>
        <v>106120600</v>
      </c>
    </row>
    <row r="38" spans="1:6" s="3" customFormat="1" ht="33" customHeight="1" x14ac:dyDescent="0.3">
      <c r="A38" s="39">
        <v>9900000000</v>
      </c>
      <c r="B38" s="61" t="s">
        <v>1</v>
      </c>
      <c r="C38" s="62"/>
      <c r="D38" s="25">
        <v>106120600</v>
      </c>
    </row>
    <row r="39" spans="1:6" s="3" customFormat="1" ht="261" customHeight="1" x14ac:dyDescent="0.3">
      <c r="A39" s="40">
        <v>41036100</v>
      </c>
      <c r="B39" s="66" t="s">
        <v>281</v>
      </c>
      <c r="C39" s="66"/>
      <c r="D39" s="24">
        <f>D40</f>
        <v>110362734</v>
      </c>
      <c r="F39" s="29"/>
    </row>
    <row r="40" spans="1:6" s="3" customFormat="1" ht="33" customHeight="1" x14ac:dyDescent="0.3">
      <c r="A40" s="39">
        <v>9900000000</v>
      </c>
      <c r="B40" s="61" t="s">
        <v>1</v>
      </c>
      <c r="C40" s="62"/>
      <c r="D40" s="25">
        <f>110362734</f>
        <v>110362734</v>
      </c>
    </row>
    <row r="41" spans="1:6" s="3" customFormat="1" ht="192" customHeight="1" x14ac:dyDescent="0.3">
      <c r="A41" s="40">
        <v>41036400</v>
      </c>
      <c r="B41" s="66" t="s">
        <v>282</v>
      </c>
      <c r="C41" s="66"/>
      <c r="D41" s="24">
        <f>D42</f>
        <v>6341040</v>
      </c>
      <c r="F41" s="29"/>
    </row>
    <row r="42" spans="1:6" s="3" customFormat="1" ht="33" customHeight="1" x14ac:dyDescent="0.3">
      <c r="A42" s="39">
        <v>9900000000</v>
      </c>
      <c r="B42" s="61" t="s">
        <v>1</v>
      </c>
      <c r="C42" s="62"/>
      <c r="D42" s="25">
        <f>6341040</f>
        <v>6341040</v>
      </c>
    </row>
    <row r="43" spans="1:6" s="3" customFormat="1" ht="33" customHeight="1" x14ac:dyDescent="0.3">
      <c r="A43" s="40">
        <v>41053900</v>
      </c>
      <c r="B43" s="70" t="s">
        <v>113</v>
      </c>
      <c r="C43" s="71"/>
      <c r="D43" s="24">
        <f>D45+D47+D49+D81+D159+D161+D235+D242</f>
        <v>367184525</v>
      </c>
    </row>
    <row r="44" spans="1:6" s="3" customFormat="1" ht="33" customHeight="1" x14ac:dyDescent="0.3">
      <c r="A44" s="39"/>
      <c r="B44" s="61" t="s">
        <v>114</v>
      </c>
      <c r="C44" s="62"/>
      <c r="D44" s="25"/>
    </row>
    <row r="45" spans="1:6" s="3" customFormat="1" ht="33.75" customHeight="1" x14ac:dyDescent="0.3">
      <c r="A45" s="39"/>
      <c r="B45" s="70" t="s">
        <v>129</v>
      </c>
      <c r="C45" s="71"/>
      <c r="D45" s="24">
        <f>D46</f>
        <v>6000000</v>
      </c>
    </row>
    <row r="46" spans="1:6" s="3" customFormat="1" ht="33.75" customHeight="1" x14ac:dyDescent="0.3">
      <c r="A46" s="38" t="s">
        <v>133</v>
      </c>
      <c r="B46" s="61" t="s">
        <v>19</v>
      </c>
      <c r="C46" s="62"/>
      <c r="D46" s="25">
        <f>6000000</f>
        <v>6000000</v>
      </c>
    </row>
    <row r="47" spans="1:6" s="3" customFormat="1" ht="33.75" customHeight="1" x14ac:dyDescent="0.3">
      <c r="A47" s="39"/>
      <c r="B47" s="70" t="s">
        <v>231</v>
      </c>
      <c r="C47" s="71"/>
      <c r="D47" s="24">
        <f>D48</f>
        <v>1047725</v>
      </c>
    </row>
    <row r="48" spans="1:6" s="3" customFormat="1" ht="33.75" customHeight="1" x14ac:dyDescent="0.3">
      <c r="A48" s="38" t="s">
        <v>130</v>
      </c>
      <c r="B48" s="61" t="s">
        <v>17</v>
      </c>
      <c r="C48" s="62"/>
      <c r="D48" s="25">
        <f>1426058-378333</f>
        <v>1047725</v>
      </c>
    </row>
    <row r="49" spans="1:4" s="3" customFormat="1" ht="75.75" customHeight="1" x14ac:dyDescent="0.3">
      <c r="A49" s="38"/>
      <c r="B49" s="66" t="s">
        <v>200</v>
      </c>
      <c r="C49" s="66"/>
      <c r="D49" s="24">
        <f>D80+D52</f>
        <v>1616680</v>
      </c>
    </row>
    <row r="50" spans="1:4" s="3" customFormat="1" ht="33.75" customHeight="1" x14ac:dyDescent="0.3">
      <c r="A50" s="38" t="s">
        <v>236</v>
      </c>
      <c r="B50" s="61" t="s">
        <v>22</v>
      </c>
      <c r="C50" s="62"/>
      <c r="D50" s="25">
        <f>100000</f>
        <v>100000</v>
      </c>
    </row>
    <row r="51" spans="1:4" s="3" customFormat="1" ht="37.5" customHeight="1" x14ac:dyDescent="0.3">
      <c r="A51" s="18" t="s">
        <v>136</v>
      </c>
      <c r="B51" s="61" t="s">
        <v>30</v>
      </c>
      <c r="C51" s="62"/>
      <c r="D51" s="25">
        <f>150000</f>
        <v>150000</v>
      </c>
    </row>
    <row r="52" spans="1:4" s="3" customFormat="1" ht="33.75" customHeight="1" x14ac:dyDescent="0.3">
      <c r="A52" s="63" t="s">
        <v>97</v>
      </c>
      <c r="B52" s="64"/>
      <c r="C52" s="65"/>
      <c r="D52" s="24">
        <f>SUM(D50:D51)</f>
        <v>250000</v>
      </c>
    </row>
    <row r="53" spans="1:4" s="3" customFormat="1" ht="33.950000000000003" customHeight="1" x14ac:dyDescent="0.3">
      <c r="A53" s="18" t="s">
        <v>139</v>
      </c>
      <c r="B53" s="61" t="s">
        <v>34</v>
      </c>
      <c r="C53" s="62"/>
      <c r="D53" s="25">
        <f>100000</f>
        <v>100000</v>
      </c>
    </row>
    <row r="54" spans="1:4" s="3" customFormat="1" ht="33.950000000000003" customHeight="1" x14ac:dyDescent="0.3">
      <c r="A54" s="18" t="s">
        <v>140</v>
      </c>
      <c r="B54" s="61" t="s">
        <v>35</v>
      </c>
      <c r="C54" s="62"/>
      <c r="D54" s="25">
        <f>50000</f>
        <v>50000</v>
      </c>
    </row>
    <row r="55" spans="1:4" s="3" customFormat="1" ht="33.75" customHeight="1" x14ac:dyDescent="0.3">
      <c r="A55" s="18" t="s">
        <v>142</v>
      </c>
      <c r="B55" s="61" t="s">
        <v>38</v>
      </c>
      <c r="C55" s="62"/>
      <c r="D55" s="25">
        <f>23800</f>
        <v>23800</v>
      </c>
    </row>
    <row r="56" spans="1:4" s="3" customFormat="1" ht="33.75" customHeight="1" x14ac:dyDescent="0.3">
      <c r="A56" s="38" t="s">
        <v>119</v>
      </c>
      <c r="B56" s="61" t="s">
        <v>60</v>
      </c>
      <c r="C56" s="62"/>
      <c r="D56" s="25">
        <f>60000</f>
        <v>60000</v>
      </c>
    </row>
    <row r="57" spans="1:4" s="3" customFormat="1" ht="33.950000000000003" customHeight="1" x14ac:dyDescent="0.3">
      <c r="A57" s="38" t="s">
        <v>146</v>
      </c>
      <c r="B57" s="61" t="s">
        <v>48</v>
      </c>
      <c r="C57" s="62"/>
      <c r="D57" s="25">
        <f>20000</f>
        <v>20000</v>
      </c>
    </row>
    <row r="58" spans="1:4" s="3" customFormat="1" ht="33.950000000000003" customHeight="1" x14ac:dyDescent="0.3">
      <c r="A58" s="38" t="s">
        <v>147</v>
      </c>
      <c r="B58" s="61" t="s">
        <v>7</v>
      </c>
      <c r="C58" s="62"/>
      <c r="D58" s="25">
        <f>32800</f>
        <v>32800</v>
      </c>
    </row>
    <row r="59" spans="1:4" s="3" customFormat="1" ht="33.950000000000003" customHeight="1" x14ac:dyDescent="0.3">
      <c r="A59" s="38" t="s">
        <v>237</v>
      </c>
      <c r="B59" s="61" t="s">
        <v>40</v>
      </c>
      <c r="C59" s="62"/>
      <c r="D59" s="25">
        <f>20000</f>
        <v>20000</v>
      </c>
    </row>
    <row r="60" spans="1:4" s="3" customFormat="1" ht="33.75" customHeight="1" x14ac:dyDescent="0.3">
      <c r="A60" s="38" t="s">
        <v>149</v>
      </c>
      <c r="B60" s="61" t="s">
        <v>73</v>
      </c>
      <c r="C60" s="62"/>
      <c r="D60" s="25">
        <f>25000</f>
        <v>25000</v>
      </c>
    </row>
    <row r="61" spans="1:4" s="3" customFormat="1" ht="33.75" customHeight="1" x14ac:dyDescent="0.3">
      <c r="A61" s="38" t="s">
        <v>150</v>
      </c>
      <c r="B61" s="61" t="s">
        <v>6</v>
      </c>
      <c r="C61" s="62"/>
      <c r="D61" s="25">
        <f>25000+25000</f>
        <v>50000</v>
      </c>
    </row>
    <row r="62" spans="1:4" s="3" customFormat="1" ht="33.75" customHeight="1" x14ac:dyDescent="0.3">
      <c r="A62" s="38" t="s">
        <v>151</v>
      </c>
      <c r="B62" s="61" t="s">
        <v>152</v>
      </c>
      <c r="C62" s="62"/>
      <c r="D62" s="25">
        <f>1900</f>
        <v>1900</v>
      </c>
    </row>
    <row r="63" spans="1:4" s="3" customFormat="1" ht="33.75" customHeight="1" x14ac:dyDescent="0.3">
      <c r="A63" s="38" t="s">
        <v>259</v>
      </c>
      <c r="B63" s="61" t="s">
        <v>39</v>
      </c>
      <c r="C63" s="62"/>
      <c r="D63" s="25">
        <f>23000</f>
        <v>23000</v>
      </c>
    </row>
    <row r="64" spans="1:4" s="3" customFormat="1" ht="33.950000000000003" customHeight="1" x14ac:dyDescent="0.3">
      <c r="A64" s="38" t="s">
        <v>155</v>
      </c>
      <c r="B64" s="61" t="s">
        <v>67</v>
      </c>
      <c r="C64" s="62"/>
      <c r="D64" s="25">
        <f>34000</f>
        <v>34000</v>
      </c>
    </row>
    <row r="65" spans="1:4" s="3" customFormat="1" ht="33.950000000000003" customHeight="1" x14ac:dyDescent="0.3">
      <c r="A65" s="38" t="s">
        <v>160</v>
      </c>
      <c r="B65" s="61" t="s">
        <v>74</v>
      </c>
      <c r="C65" s="62"/>
      <c r="D65" s="25">
        <f>20000</f>
        <v>20000</v>
      </c>
    </row>
    <row r="66" spans="1:4" s="3" customFormat="1" ht="33.950000000000003" customHeight="1" x14ac:dyDescent="0.3">
      <c r="A66" s="38" t="s">
        <v>161</v>
      </c>
      <c r="B66" s="61" t="s">
        <v>20</v>
      </c>
      <c r="C66" s="62"/>
      <c r="D66" s="25">
        <f>31800</f>
        <v>31800</v>
      </c>
    </row>
    <row r="67" spans="1:4" s="3" customFormat="1" ht="33.950000000000003" customHeight="1" x14ac:dyDescent="0.3">
      <c r="A67" s="18" t="s">
        <v>168</v>
      </c>
      <c r="B67" s="59" t="s">
        <v>99</v>
      </c>
      <c r="C67" s="60"/>
      <c r="D67" s="25">
        <f>60000</f>
        <v>60000</v>
      </c>
    </row>
    <row r="68" spans="1:4" s="3" customFormat="1" ht="33.75" customHeight="1" x14ac:dyDescent="0.3">
      <c r="A68" s="18" t="s">
        <v>169</v>
      </c>
      <c r="B68" s="59" t="s">
        <v>41</v>
      </c>
      <c r="C68" s="60"/>
      <c r="D68" s="25">
        <f>50000</f>
        <v>50000</v>
      </c>
    </row>
    <row r="69" spans="1:4" s="3" customFormat="1" ht="33.75" customHeight="1" x14ac:dyDescent="0.3">
      <c r="A69" s="18" t="s">
        <v>171</v>
      </c>
      <c r="B69" s="59" t="s">
        <v>59</v>
      </c>
      <c r="C69" s="60"/>
      <c r="D69" s="25">
        <f>23000</f>
        <v>23000</v>
      </c>
    </row>
    <row r="70" spans="1:4" s="3" customFormat="1" ht="33.950000000000003" customHeight="1" x14ac:dyDescent="0.3">
      <c r="A70" s="18" t="s">
        <v>172</v>
      </c>
      <c r="B70" s="59" t="s">
        <v>79</v>
      </c>
      <c r="C70" s="60"/>
      <c r="D70" s="25">
        <f>200000</f>
        <v>200000</v>
      </c>
    </row>
    <row r="71" spans="1:4" s="3" customFormat="1" ht="33.75" customHeight="1" x14ac:dyDescent="0.3">
      <c r="A71" s="18" t="s">
        <v>173</v>
      </c>
      <c r="B71" s="59" t="s">
        <v>23</v>
      </c>
      <c r="C71" s="60"/>
      <c r="D71" s="25">
        <f>26000</f>
        <v>26000</v>
      </c>
    </row>
    <row r="72" spans="1:4" s="3" customFormat="1" ht="33.950000000000003" customHeight="1" x14ac:dyDescent="0.3">
      <c r="A72" s="18" t="s">
        <v>177</v>
      </c>
      <c r="B72" s="59" t="s">
        <v>26</v>
      </c>
      <c r="C72" s="60"/>
      <c r="D72" s="25">
        <f>120000</f>
        <v>120000</v>
      </c>
    </row>
    <row r="73" spans="1:4" s="3" customFormat="1" ht="34.5" customHeight="1" x14ac:dyDescent="0.3">
      <c r="A73" s="18" t="s">
        <v>233</v>
      </c>
      <c r="B73" s="59" t="s">
        <v>27</v>
      </c>
      <c r="C73" s="60"/>
      <c r="D73" s="25">
        <f>33200</f>
        <v>33200</v>
      </c>
    </row>
    <row r="74" spans="1:4" s="3" customFormat="1" ht="33.75" customHeight="1" x14ac:dyDescent="0.3">
      <c r="A74" s="18" t="s">
        <v>182</v>
      </c>
      <c r="B74" s="59" t="s">
        <v>28</v>
      </c>
      <c r="C74" s="60"/>
      <c r="D74" s="25">
        <f>50400</f>
        <v>50400</v>
      </c>
    </row>
    <row r="75" spans="1:4" s="3" customFormat="1" ht="33.950000000000003" customHeight="1" x14ac:dyDescent="0.3">
      <c r="A75" s="18" t="s">
        <v>184</v>
      </c>
      <c r="B75" s="59" t="s">
        <v>72</v>
      </c>
      <c r="C75" s="60"/>
      <c r="D75" s="25">
        <f>14000</f>
        <v>14000</v>
      </c>
    </row>
    <row r="76" spans="1:4" s="3" customFormat="1" ht="33.75" customHeight="1" x14ac:dyDescent="0.3">
      <c r="A76" s="18" t="s">
        <v>189</v>
      </c>
      <c r="B76" s="59" t="s">
        <v>53</v>
      </c>
      <c r="C76" s="60"/>
      <c r="D76" s="25">
        <f>71600</f>
        <v>71600</v>
      </c>
    </row>
    <row r="77" spans="1:4" s="3" customFormat="1" ht="33.950000000000003" customHeight="1" x14ac:dyDescent="0.3">
      <c r="A77" s="18" t="s">
        <v>193</v>
      </c>
      <c r="B77" s="59" t="s">
        <v>63</v>
      </c>
      <c r="C77" s="60"/>
      <c r="D77" s="25">
        <f>100000</f>
        <v>100000</v>
      </c>
    </row>
    <row r="78" spans="1:4" s="3" customFormat="1" ht="33.950000000000003" customHeight="1" x14ac:dyDescent="0.3">
      <c r="A78" s="18" t="s">
        <v>262</v>
      </c>
      <c r="B78" s="59" t="s">
        <v>62</v>
      </c>
      <c r="C78" s="60"/>
      <c r="D78" s="25">
        <f>76180</f>
        <v>76180</v>
      </c>
    </row>
    <row r="79" spans="1:4" s="3" customFormat="1" ht="33.75" customHeight="1" x14ac:dyDescent="0.3">
      <c r="A79" s="18" t="s">
        <v>239</v>
      </c>
      <c r="B79" s="59" t="s">
        <v>13</v>
      </c>
      <c r="C79" s="60"/>
      <c r="D79" s="25">
        <f>50000</f>
        <v>50000</v>
      </c>
    </row>
    <row r="80" spans="1:4" s="3" customFormat="1" ht="37.5" customHeight="1" x14ac:dyDescent="0.3">
      <c r="A80" s="63" t="s">
        <v>80</v>
      </c>
      <c r="B80" s="64"/>
      <c r="C80" s="65"/>
      <c r="D80" s="26">
        <f>SUM(D53:D79)</f>
        <v>1366680</v>
      </c>
    </row>
    <row r="81" spans="1:4" s="3" customFormat="1" ht="77.25" customHeight="1" x14ac:dyDescent="0.3">
      <c r="A81" s="39"/>
      <c r="B81" s="70" t="s">
        <v>227</v>
      </c>
      <c r="C81" s="71"/>
      <c r="D81" s="24">
        <f>D93+D158</f>
        <v>8543100</v>
      </c>
    </row>
    <row r="82" spans="1:4" s="3" customFormat="1" ht="33.950000000000003" customHeight="1" x14ac:dyDescent="0.3">
      <c r="A82" s="38" t="s">
        <v>131</v>
      </c>
      <c r="B82" s="61" t="s">
        <v>15</v>
      </c>
      <c r="C82" s="62"/>
      <c r="D82" s="25">
        <f>70100</f>
        <v>70100</v>
      </c>
    </row>
    <row r="83" spans="1:4" s="3" customFormat="1" ht="33.950000000000003" customHeight="1" x14ac:dyDescent="0.3">
      <c r="A83" s="38" t="s">
        <v>130</v>
      </c>
      <c r="B83" s="61" t="s">
        <v>17</v>
      </c>
      <c r="C83" s="62"/>
      <c r="D83" s="25">
        <f>2913200</f>
        <v>2913200</v>
      </c>
    </row>
    <row r="84" spans="1:4" s="3" customFormat="1" ht="33.950000000000003" customHeight="1" x14ac:dyDescent="0.3">
      <c r="A84" s="38" t="s">
        <v>132</v>
      </c>
      <c r="B84" s="59" t="s">
        <v>18</v>
      </c>
      <c r="C84" s="60"/>
      <c r="D84" s="25">
        <f>130500</f>
        <v>130500</v>
      </c>
    </row>
    <row r="85" spans="1:4" s="3" customFormat="1" ht="33.950000000000003" customHeight="1" x14ac:dyDescent="0.3">
      <c r="A85" s="38" t="s">
        <v>232</v>
      </c>
      <c r="B85" s="59" t="s">
        <v>125</v>
      </c>
      <c r="C85" s="60"/>
      <c r="D85" s="25">
        <f>701100</f>
        <v>701100</v>
      </c>
    </row>
    <row r="86" spans="1:4" s="3" customFormat="1" ht="33.75" customHeight="1" x14ac:dyDescent="0.3">
      <c r="A86" s="38" t="s">
        <v>133</v>
      </c>
      <c r="B86" s="61" t="s">
        <v>19</v>
      </c>
      <c r="C86" s="62"/>
      <c r="D86" s="25">
        <f>1819800</f>
        <v>1819800</v>
      </c>
    </row>
    <row r="87" spans="1:4" s="3" customFormat="1" ht="33.75" customHeight="1" x14ac:dyDescent="0.3">
      <c r="A87" s="38" t="s">
        <v>236</v>
      </c>
      <c r="B87" s="61" t="s">
        <v>22</v>
      </c>
      <c r="C87" s="62"/>
      <c r="D87" s="25">
        <f>209600</f>
        <v>209600</v>
      </c>
    </row>
    <row r="88" spans="1:4" s="3" customFormat="1" ht="37.5" customHeight="1" x14ac:dyDescent="0.3">
      <c r="A88" s="18" t="s">
        <v>134</v>
      </c>
      <c r="B88" s="59" t="s">
        <v>24</v>
      </c>
      <c r="C88" s="60"/>
      <c r="D88" s="25">
        <f>304300</f>
        <v>304300</v>
      </c>
    </row>
    <row r="89" spans="1:4" s="3" customFormat="1" ht="37.5" customHeight="1" x14ac:dyDescent="0.3">
      <c r="A89" s="18" t="s">
        <v>137</v>
      </c>
      <c r="B89" s="61" t="s">
        <v>25</v>
      </c>
      <c r="C89" s="62"/>
      <c r="D89" s="25">
        <f>81300</f>
        <v>81300</v>
      </c>
    </row>
    <row r="90" spans="1:4" s="3" customFormat="1" ht="33.950000000000003" customHeight="1" x14ac:dyDescent="0.3">
      <c r="A90" s="18" t="s">
        <v>138</v>
      </c>
      <c r="B90" s="61" t="s">
        <v>32</v>
      </c>
      <c r="C90" s="62"/>
      <c r="D90" s="25">
        <f>126600</f>
        <v>126600</v>
      </c>
    </row>
    <row r="91" spans="1:4" s="3" customFormat="1" ht="37.5" customHeight="1" x14ac:dyDescent="0.3">
      <c r="A91" s="18" t="s">
        <v>135</v>
      </c>
      <c r="B91" s="61" t="s">
        <v>29</v>
      </c>
      <c r="C91" s="62"/>
      <c r="D91" s="25">
        <f>89000</f>
        <v>89000</v>
      </c>
    </row>
    <row r="92" spans="1:4" s="3" customFormat="1" ht="37.5" customHeight="1" x14ac:dyDescent="0.3">
      <c r="A92" s="18" t="s">
        <v>136</v>
      </c>
      <c r="B92" s="61" t="s">
        <v>30</v>
      </c>
      <c r="C92" s="62"/>
      <c r="D92" s="25">
        <f>80900</f>
        <v>80900</v>
      </c>
    </row>
    <row r="93" spans="1:4" s="3" customFormat="1" ht="33.75" customHeight="1" x14ac:dyDescent="0.3">
      <c r="A93" s="63" t="s">
        <v>97</v>
      </c>
      <c r="B93" s="64"/>
      <c r="C93" s="65"/>
      <c r="D93" s="24">
        <f>SUM(D82:D92)</f>
        <v>6526400</v>
      </c>
    </row>
    <row r="94" spans="1:4" s="3" customFormat="1" ht="33.75" customHeight="1" x14ac:dyDescent="0.3">
      <c r="A94" s="38" t="s">
        <v>207</v>
      </c>
      <c r="B94" s="61" t="s">
        <v>33</v>
      </c>
      <c r="C94" s="62"/>
      <c r="D94" s="25">
        <v>65500</v>
      </c>
    </row>
    <row r="95" spans="1:4" s="3" customFormat="1" ht="33.950000000000003" customHeight="1" x14ac:dyDescent="0.3">
      <c r="A95" s="18" t="s">
        <v>139</v>
      </c>
      <c r="B95" s="61" t="s">
        <v>34</v>
      </c>
      <c r="C95" s="62"/>
      <c r="D95" s="25">
        <f>28700</f>
        <v>28700</v>
      </c>
    </row>
    <row r="96" spans="1:4" s="3" customFormat="1" ht="33.950000000000003" customHeight="1" x14ac:dyDescent="0.3">
      <c r="A96" s="18" t="s">
        <v>140</v>
      </c>
      <c r="B96" s="61" t="s">
        <v>35</v>
      </c>
      <c r="C96" s="62"/>
      <c r="D96" s="25">
        <f>31300</f>
        <v>31300</v>
      </c>
    </row>
    <row r="97" spans="1:4" s="3" customFormat="1" ht="33.75" customHeight="1" x14ac:dyDescent="0.3">
      <c r="A97" s="18" t="s">
        <v>141</v>
      </c>
      <c r="B97" s="61" t="s">
        <v>14</v>
      </c>
      <c r="C97" s="62"/>
      <c r="D97" s="25">
        <f>11400</f>
        <v>11400</v>
      </c>
    </row>
    <row r="98" spans="1:4" s="3" customFormat="1" ht="33.75" customHeight="1" x14ac:dyDescent="0.3">
      <c r="A98" s="18" t="s">
        <v>142</v>
      </c>
      <c r="B98" s="61" t="s">
        <v>38</v>
      </c>
      <c r="C98" s="62"/>
      <c r="D98" s="25">
        <f>8300</f>
        <v>8300</v>
      </c>
    </row>
    <row r="99" spans="1:4" s="3" customFormat="1" ht="33.950000000000003" customHeight="1" x14ac:dyDescent="0.3">
      <c r="A99" s="18" t="s">
        <v>143</v>
      </c>
      <c r="B99" s="61" t="s">
        <v>47</v>
      </c>
      <c r="C99" s="62"/>
      <c r="D99" s="25">
        <f>64700</f>
        <v>64700</v>
      </c>
    </row>
    <row r="100" spans="1:4" s="3" customFormat="1" ht="33.950000000000003" customHeight="1" x14ac:dyDescent="0.3">
      <c r="A100" s="38" t="s">
        <v>144</v>
      </c>
      <c r="B100" s="61" t="s">
        <v>36</v>
      </c>
      <c r="C100" s="62"/>
      <c r="D100" s="25">
        <f>23800</f>
        <v>23800</v>
      </c>
    </row>
    <row r="101" spans="1:4" s="3" customFormat="1" ht="33.950000000000003" customHeight="1" x14ac:dyDescent="0.3">
      <c r="A101" s="38" t="s">
        <v>145</v>
      </c>
      <c r="B101" s="61" t="s">
        <v>112</v>
      </c>
      <c r="C101" s="62"/>
      <c r="D101" s="25">
        <f>35300</f>
        <v>35300</v>
      </c>
    </row>
    <row r="102" spans="1:4" s="3" customFormat="1" ht="33.75" customHeight="1" x14ac:dyDescent="0.3">
      <c r="A102" s="38" t="s">
        <v>119</v>
      </c>
      <c r="B102" s="61" t="s">
        <v>60</v>
      </c>
      <c r="C102" s="62"/>
      <c r="D102" s="25">
        <f>110700</f>
        <v>110700</v>
      </c>
    </row>
    <row r="103" spans="1:4" s="3" customFormat="1" ht="33.950000000000003" customHeight="1" x14ac:dyDescent="0.3">
      <c r="A103" s="38" t="s">
        <v>146</v>
      </c>
      <c r="B103" s="61" t="s">
        <v>48</v>
      </c>
      <c r="C103" s="62"/>
      <c r="D103" s="25">
        <f>13100</f>
        <v>13100</v>
      </c>
    </row>
    <row r="104" spans="1:4" s="3" customFormat="1" ht="33.950000000000003" customHeight="1" x14ac:dyDescent="0.3">
      <c r="A104" s="38" t="s">
        <v>147</v>
      </c>
      <c r="B104" s="61" t="s">
        <v>7</v>
      </c>
      <c r="C104" s="62"/>
      <c r="D104" s="25">
        <f>22500</f>
        <v>22500</v>
      </c>
    </row>
    <row r="105" spans="1:4" s="3" customFormat="1" ht="33.950000000000003" customHeight="1" x14ac:dyDescent="0.3">
      <c r="A105" s="38" t="s">
        <v>148</v>
      </c>
      <c r="B105" s="61" t="s">
        <v>57</v>
      </c>
      <c r="C105" s="62"/>
      <c r="D105" s="25">
        <f>13200</f>
        <v>13200</v>
      </c>
    </row>
    <row r="106" spans="1:4" s="3" customFormat="1" ht="33.950000000000003" customHeight="1" x14ac:dyDescent="0.3">
      <c r="A106" s="38" t="s">
        <v>237</v>
      </c>
      <c r="B106" s="61" t="s">
        <v>40</v>
      </c>
      <c r="C106" s="62"/>
      <c r="D106" s="25">
        <f>18100</f>
        <v>18100</v>
      </c>
    </row>
    <row r="107" spans="1:4" s="3" customFormat="1" ht="33.75" customHeight="1" x14ac:dyDescent="0.3">
      <c r="A107" s="38" t="s">
        <v>208</v>
      </c>
      <c r="B107" s="61" t="s">
        <v>16</v>
      </c>
      <c r="C107" s="62"/>
      <c r="D107" s="25">
        <v>53700</v>
      </c>
    </row>
    <row r="108" spans="1:4" s="3" customFormat="1" ht="33.950000000000003" customHeight="1" x14ac:dyDescent="0.3">
      <c r="A108" s="38" t="s">
        <v>149</v>
      </c>
      <c r="B108" s="61" t="s">
        <v>73</v>
      </c>
      <c r="C108" s="62"/>
      <c r="D108" s="25">
        <f>15400</f>
        <v>15400</v>
      </c>
    </row>
    <row r="109" spans="1:4" s="3" customFormat="1" ht="33.950000000000003" customHeight="1" x14ac:dyDescent="0.3">
      <c r="A109" s="38" t="s">
        <v>150</v>
      </c>
      <c r="B109" s="61" t="s">
        <v>6</v>
      </c>
      <c r="C109" s="62"/>
      <c r="D109" s="25">
        <f>25600</f>
        <v>25600</v>
      </c>
    </row>
    <row r="110" spans="1:4" s="3" customFormat="1" ht="33.75" customHeight="1" x14ac:dyDescent="0.3">
      <c r="A110" s="38" t="s">
        <v>151</v>
      </c>
      <c r="B110" s="61" t="s">
        <v>152</v>
      </c>
      <c r="C110" s="62"/>
      <c r="D110" s="25">
        <f>10000</f>
        <v>10000</v>
      </c>
    </row>
    <row r="111" spans="1:4" s="3" customFormat="1" ht="33.950000000000003" customHeight="1" x14ac:dyDescent="0.3">
      <c r="A111" s="38" t="s">
        <v>153</v>
      </c>
      <c r="B111" s="61" t="s">
        <v>8</v>
      </c>
      <c r="C111" s="62"/>
      <c r="D111" s="25">
        <f>11400</f>
        <v>11400</v>
      </c>
    </row>
    <row r="112" spans="1:4" s="3" customFormat="1" ht="33.950000000000003" customHeight="1" x14ac:dyDescent="0.3">
      <c r="A112" s="38" t="s">
        <v>154</v>
      </c>
      <c r="B112" s="61" t="s">
        <v>66</v>
      </c>
      <c r="C112" s="62"/>
      <c r="D112" s="25">
        <f>38300</f>
        <v>38300</v>
      </c>
    </row>
    <row r="113" spans="1:4" s="3" customFormat="1" ht="33.950000000000003" customHeight="1" x14ac:dyDescent="0.3">
      <c r="A113" s="38" t="s">
        <v>155</v>
      </c>
      <c r="B113" s="61" t="s">
        <v>67</v>
      </c>
      <c r="C113" s="62"/>
      <c r="D113" s="25">
        <f>15800</f>
        <v>15800</v>
      </c>
    </row>
    <row r="114" spans="1:4" s="3" customFormat="1" ht="33.950000000000003" customHeight="1" x14ac:dyDescent="0.3">
      <c r="A114" s="38" t="s">
        <v>156</v>
      </c>
      <c r="B114" s="61" t="s">
        <v>157</v>
      </c>
      <c r="C114" s="62"/>
      <c r="D114" s="25">
        <f>9500</f>
        <v>9500</v>
      </c>
    </row>
    <row r="115" spans="1:4" s="3" customFormat="1" ht="33.950000000000003" customHeight="1" x14ac:dyDescent="0.3">
      <c r="A115" s="38" t="s">
        <v>158</v>
      </c>
      <c r="B115" s="61" t="s">
        <v>49</v>
      </c>
      <c r="C115" s="62"/>
      <c r="D115" s="25">
        <f>56100</f>
        <v>56100</v>
      </c>
    </row>
    <row r="116" spans="1:4" s="3" customFormat="1" ht="33.950000000000003" customHeight="1" x14ac:dyDescent="0.3">
      <c r="A116" s="38" t="s">
        <v>159</v>
      </c>
      <c r="B116" s="61" t="s">
        <v>50</v>
      </c>
      <c r="C116" s="62"/>
      <c r="D116" s="25">
        <f>14100</f>
        <v>14100</v>
      </c>
    </row>
    <row r="117" spans="1:4" s="3" customFormat="1" ht="33.950000000000003" customHeight="1" x14ac:dyDescent="0.3">
      <c r="A117" s="38" t="s">
        <v>160</v>
      </c>
      <c r="B117" s="61" t="s">
        <v>74</v>
      </c>
      <c r="C117" s="62"/>
      <c r="D117" s="25">
        <f>15000</f>
        <v>15000</v>
      </c>
    </row>
    <row r="118" spans="1:4" s="3" customFormat="1" ht="33.950000000000003" customHeight="1" x14ac:dyDescent="0.3">
      <c r="A118" s="38" t="s">
        <v>161</v>
      </c>
      <c r="B118" s="61" t="s">
        <v>20</v>
      </c>
      <c r="C118" s="62"/>
      <c r="D118" s="25">
        <f>55400</f>
        <v>55400</v>
      </c>
    </row>
    <row r="119" spans="1:4" s="3" customFormat="1" ht="33.950000000000003" customHeight="1" x14ac:dyDescent="0.3">
      <c r="A119" s="38" t="s">
        <v>162</v>
      </c>
      <c r="B119" s="61" t="s">
        <v>70</v>
      </c>
      <c r="C119" s="62"/>
      <c r="D119" s="25">
        <f>10700</f>
        <v>10700</v>
      </c>
    </row>
    <row r="120" spans="1:4" s="3" customFormat="1" ht="33.950000000000003" customHeight="1" x14ac:dyDescent="0.3">
      <c r="A120" s="18" t="s">
        <v>163</v>
      </c>
      <c r="B120" s="59" t="s">
        <v>164</v>
      </c>
      <c r="C120" s="60"/>
      <c r="D120" s="25">
        <f>6100</f>
        <v>6100</v>
      </c>
    </row>
    <row r="121" spans="1:4" s="3" customFormat="1" ht="33.950000000000003" customHeight="1" x14ac:dyDescent="0.3">
      <c r="A121" s="18" t="s">
        <v>165</v>
      </c>
      <c r="B121" s="59" t="s">
        <v>9</v>
      </c>
      <c r="C121" s="60"/>
      <c r="D121" s="25">
        <f>63500</f>
        <v>63500</v>
      </c>
    </row>
    <row r="122" spans="1:4" s="3" customFormat="1" ht="33.75" customHeight="1" x14ac:dyDescent="0.3">
      <c r="A122" s="18" t="s">
        <v>166</v>
      </c>
      <c r="B122" s="59" t="s">
        <v>78</v>
      </c>
      <c r="C122" s="60"/>
      <c r="D122" s="25">
        <f>20000</f>
        <v>20000</v>
      </c>
    </row>
    <row r="123" spans="1:4" s="3" customFormat="1" ht="33.950000000000003" customHeight="1" x14ac:dyDescent="0.3">
      <c r="A123" s="18" t="s">
        <v>255</v>
      </c>
      <c r="B123" s="59" t="s">
        <v>61</v>
      </c>
      <c r="C123" s="60"/>
      <c r="D123" s="25">
        <f>43900</f>
        <v>43900</v>
      </c>
    </row>
    <row r="124" spans="1:4" s="3" customFormat="1" ht="33.950000000000003" customHeight="1" x14ac:dyDescent="0.3">
      <c r="A124" s="18" t="s">
        <v>167</v>
      </c>
      <c r="B124" s="59" t="s">
        <v>100</v>
      </c>
      <c r="C124" s="60"/>
      <c r="D124" s="25">
        <f>19600</f>
        <v>19600</v>
      </c>
    </row>
    <row r="125" spans="1:4" s="3" customFormat="1" ht="33.950000000000003" customHeight="1" x14ac:dyDescent="0.3">
      <c r="A125" s="18" t="s">
        <v>168</v>
      </c>
      <c r="B125" s="59" t="s">
        <v>99</v>
      </c>
      <c r="C125" s="60"/>
      <c r="D125" s="25">
        <f>28600</f>
        <v>28600</v>
      </c>
    </row>
    <row r="126" spans="1:4" s="3" customFormat="1" ht="33.950000000000003" customHeight="1" x14ac:dyDescent="0.3">
      <c r="A126" s="18" t="s">
        <v>169</v>
      </c>
      <c r="B126" s="59" t="s">
        <v>41</v>
      </c>
      <c r="C126" s="60"/>
      <c r="D126" s="25">
        <f>17700</f>
        <v>17700</v>
      </c>
    </row>
    <row r="127" spans="1:4" s="3" customFormat="1" ht="33.950000000000003" customHeight="1" x14ac:dyDescent="0.3">
      <c r="A127" s="18" t="s">
        <v>170</v>
      </c>
      <c r="B127" s="59" t="s">
        <v>42</v>
      </c>
      <c r="C127" s="60"/>
      <c r="D127" s="25">
        <f>13600</f>
        <v>13600</v>
      </c>
    </row>
    <row r="128" spans="1:4" s="3" customFormat="1" ht="33.950000000000003" customHeight="1" x14ac:dyDescent="0.3">
      <c r="A128" s="18" t="s">
        <v>171</v>
      </c>
      <c r="B128" s="59" t="s">
        <v>59</v>
      </c>
      <c r="C128" s="60"/>
      <c r="D128" s="25">
        <f>7400</f>
        <v>7400</v>
      </c>
    </row>
    <row r="129" spans="1:4" s="3" customFormat="1" ht="33.950000000000003" customHeight="1" x14ac:dyDescent="0.3">
      <c r="A129" s="18" t="s">
        <v>172</v>
      </c>
      <c r="B129" s="59" t="s">
        <v>79</v>
      </c>
      <c r="C129" s="60"/>
      <c r="D129" s="25">
        <f>31500</f>
        <v>31500</v>
      </c>
    </row>
    <row r="130" spans="1:4" s="3" customFormat="1" ht="33.950000000000003" customHeight="1" x14ac:dyDescent="0.3">
      <c r="A130" s="18" t="s">
        <v>173</v>
      </c>
      <c r="B130" s="59" t="s">
        <v>23</v>
      </c>
      <c r="C130" s="60"/>
      <c r="D130" s="25">
        <f>48900</f>
        <v>48900</v>
      </c>
    </row>
    <row r="131" spans="1:4" s="3" customFormat="1" ht="33.950000000000003" customHeight="1" x14ac:dyDescent="0.3">
      <c r="A131" s="18" t="s">
        <v>174</v>
      </c>
      <c r="B131" s="59" t="s">
        <v>43</v>
      </c>
      <c r="C131" s="60"/>
      <c r="D131" s="25">
        <f>23100</f>
        <v>23100</v>
      </c>
    </row>
    <row r="132" spans="1:4" s="3" customFormat="1" ht="33.950000000000003" customHeight="1" x14ac:dyDescent="0.3">
      <c r="A132" s="18" t="s">
        <v>175</v>
      </c>
      <c r="B132" s="59" t="s">
        <v>10</v>
      </c>
      <c r="C132" s="60"/>
      <c r="D132" s="25">
        <f>35100</f>
        <v>35100</v>
      </c>
    </row>
    <row r="133" spans="1:4" s="3" customFormat="1" ht="33.950000000000003" customHeight="1" x14ac:dyDescent="0.3">
      <c r="A133" s="18" t="s">
        <v>178</v>
      </c>
      <c r="B133" s="59" t="s">
        <v>75</v>
      </c>
      <c r="C133" s="60"/>
      <c r="D133" s="25">
        <f>61200</f>
        <v>61200</v>
      </c>
    </row>
    <row r="134" spans="1:4" s="3" customFormat="1" ht="33.950000000000003" customHeight="1" x14ac:dyDescent="0.3">
      <c r="A134" s="18" t="s">
        <v>179</v>
      </c>
      <c r="B134" s="59" t="s">
        <v>77</v>
      </c>
      <c r="C134" s="60"/>
      <c r="D134" s="25">
        <f>36300</f>
        <v>36300</v>
      </c>
    </row>
    <row r="135" spans="1:4" s="3" customFormat="1" ht="33.950000000000003" customHeight="1" x14ac:dyDescent="0.3">
      <c r="A135" s="18" t="s">
        <v>176</v>
      </c>
      <c r="B135" s="59" t="s">
        <v>64</v>
      </c>
      <c r="C135" s="60"/>
      <c r="D135" s="25">
        <f>68200</f>
        <v>68200</v>
      </c>
    </row>
    <row r="136" spans="1:4" s="3" customFormat="1" ht="33.950000000000003" customHeight="1" x14ac:dyDescent="0.3">
      <c r="A136" s="18" t="s">
        <v>177</v>
      </c>
      <c r="B136" s="59" t="s">
        <v>26</v>
      </c>
      <c r="C136" s="60"/>
      <c r="D136" s="25">
        <f>25000</f>
        <v>25000</v>
      </c>
    </row>
    <row r="137" spans="1:4" s="3" customFormat="1" ht="33.950000000000003" customHeight="1" x14ac:dyDescent="0.3">
      <c r="A137" s="18" t="s">
        <v>180</v>
      </c>
      <c r="B137" s="59" t="s">
        <v>12</v>
      </c>
      <c r="C137" s="60"/>
      <c r="D137" s="25">
        <f>69400</f>
        <v>69400</v>
      </c>
    </row>
    <row r="138" spans="1:4" s="3" customFormat="1" ht="33.950000000000003" customHeight="1" x14ac:dyDescent="0.3">
      <c r="A138" s="18" t="s">
        <v>181</v>
      </c>
      <c r="B138" s="59" t="s">
        <v>76</v>
      </c>
      <c r="C138" s="60"/>
      <c r="D138" s="25">
        <f>55200</f>
        <v>55200</v>
      </c>
    </row>
    <row r="139" spans="1:4" s="3" customFormat="1" ht="33.950000000000003" customHeight="1" x14ac:dyDescent="0.3">
      <c r="A139" s="18" t="s">
        <v>182</v>
      </c>
      <c r="B139" s="59" t="s">
        <v>28</v>
      </c>
      <c r="C139" s="60"/>
      <c r="D139" s="25">
        <f>76100</f>
        <v>76100</v>
      </c>
    </row>
    <row r="140" spans="1:4" s="3" customFormat="1" ht="33.950000000000003" customHeight="1" x14ac:dyDescent="0.3">
      <c r="A140" s="18" t="s">
        <v>238</v>
      </c>
      <c r="B140" s="59" t="s">
        <v>65</v>
      </c>
      <c r="C140" s="60"/>
      <c r="D140" s="25">
        <f>30800</f>
        <v>30800</v>
      </c>
    </row>
    <row r="141" spans="1:4" s="3" customFormat="1" ht="33.950000000000003" customHeight="1" x14ac:dyDescent="0.3">
      <c r="A141" s="18" t="s">
        <v>183</v>
      </c>
      <c r="B141" s="59" t="s">
        <v>52</v>
      </c>
      <c r="C141" s="60"/>
      <c r="D141" s="25">
        <f>9000</f>
        <v>9000</v>
      </c>
    </row>
    <row r="142" spans="1:4" s="3" customFormat="1" ht="33.950000000000003" customHeight="1" x14ac:dyDescent="0.3">
      <c r="A142" s="18" t="s">
        <v>184</v>
      </c>
      <c r="B142" s="59" t="s">
        <v>72</v>
      </c>
      <c r="C142" s="60"/>
      <c r="D142" s="25">
        <f>20500</f>
        <v>20500</v>
      </c>
    </row>
    <row r="143" spans="1:4" s="3" customFormat="1" ht="33.950000000000003" customHeight="1" x14ac:dyDescent="0.3">
      <c r="A143" s="18" t="s">
        <v>185</v>
      </c>
      <c r="B143" s="59" t="s">
        <v>37</v>
      </c>
      <c r="C143" s="60"/>
      <c r="D143" s="25">
        <f>14800</f>
        <v>14800</v>
      </c>
    </row>
    <row r="144" spans="1:4" s="3" customFormat="1" ht="33.950000000000003" customHeight="1" x14ac:dyDescent="0.3">
      <c r="A144" s="18" t="s">
        <v>210</v>
      </c>
      <c r="B144" s="59" t="s">
        <v>209</v>
      </c>
      <c r="C144" s="60"/>
      <c r="D144" s="25">
        <v>14800</v>
      </c>
    </row>
    <row r="145" spans="1:4" s="3" customFormat="1" ht="33.950000000000003" customHeight="1" x14ac:dyDescent="0.3">
      <c r="A145" s="18" t="s">
        <v>186</v>
      </c>
      <c r="B145" s="59" t="s">
        <v>45</v>
      </c>
      <c r="C145" s="60"/>
      <c r="D145" s="25">
        <f>71600</f>
        <v>71600</v>
      </c>
    </row>
    <row r="146" spans="1:4" s="3" customFormat="1" ht="33.950000000000003" customHeight="1" x14ac:dyDescent="0.3">
      <c r="A146" s="18" t="s">
        <v>187</v>
      </c>
      <c r="B146" s="59" t="s">
        <v>124</v>
      </c>
      <c r="C146" s="60"/>
      <c r="D146" s="25">
        <f>9900</f>
        <v>9900</v>
      </c>
    </row>
    <row r="147" spans="1:4" s="3" customFormat="1" ht="33.950000000000003" customHeight="1" x14ac:dyDescent="0.3">
      <c r="A147" s="18" t="s">
        <v>188</v>
      </c>
      <c r="B147" s="59" t="s">
        <v>44</v>
      </c>
      <c r="C147" s="60"/>
      <c r="D147" s="25">
        <f>71300</f>
        <v>71300</v>
      </c>
    </row>
    <row r="148" spans="1:4" s="3" customFormat="1" ht="33.950000000000003" customHeight="1" x14ac:dyDescent="0.3">
      <c r="A148" s="18" t="s">
        <v>189</v>
      </c>
      <c r="B148" s="59" t="s">
        <v>53</v>
      </c>
      <c r="C148" s="60"/>
      <c r="D148" s="25">
        <f>35500</f>
        <v>35500</v>
      </c>
    </row>
    <row r="149" spans="1:4" s="3" customFormat="1" ht="33.950000000000003" customHeight="1" x14ac:dyDescent="0.3">
      <c r="A149" s="18" t="s">
        <v>190</v>
      </c>
      <c r="B149" s="59" t="s">
        <v>191</v>
      </c>
      <c r="C149" s="60"/>
      <c r="D149" s="25">
        <f>17100</f>
        <v>17100</v>
      </c>
    </row>
    <row r="150" spans="1:4" s="3" customFormat="1" ht="33.950000000000003" customHeight="1" x14ac:dyDescent="0.3">
      <c r="A150" s="18" t="s">
        <v>192</v>
      </c>
      <c r="B150" s="59" t="s">
        <v>54</v>
      </c>
      <c r="C150" s="60"/>
      <c r="D150" s="25">
        <f>42600</f>
        <v>42600</v>
      </c>
    </row>
    <row r="151" spans="1:4" s="3" customFormat="1" ht="33.950000000000003" customHeight="1" x14ac:dyDescent="0.3">
      <c r="A151" s="18" t="s">
        <v>193</v>
      </c>
      <c r="B151" s="59" t="s">
        <v>63</v>
      </c>
      <c r="C151" s="60"/>
      <c r="D151" s="25">
        <f>10200</f>
        <v>10200</v>
      </c>
    </row>
    <row r="152" spans="1:4" s="3" customFormat="1" ht="33.950000000000003" customHeight="1" x14ac:dyDescent="0.3">
      <c r="A152" s="18" t="s">
        <v>194</v>
      </c>
      <c r="B152" s="59" t="s">
        <v>71</v>
      </c>
      <c r="C152" s="60"/>
      <c r="D152" s="25">
        <f>7400</f>
        <v>7400</v>
      </c>
    </row>
    <row r="153" spans="1:4" s="3" customFormat="1" ht="33.950000000000003" customHeight="1" x14ac:dyDescent="0.3">
      <c r="A153" s="18" t="s">
        <v>195</v>
      </c>
      <c r="B153" s="59" t="s">
        <v>55</v>
      </c>
      <c r="C153" s="60"/>
      <c r="D153" s="25">
        <f>42700</f>
        <v>42700</v>
      </c>
    </row>
    <row r="154" spans="1:4" s="3" customFormat="1" ht="33.75" customHeight="1" x14ac:dyDescent="0.3">
      <c r="A154" s="18" t="s">
        <v>239</v>
      </c>
      <c r="B154" s="59" t="s">
        <v>13</v>
      </c>
      <c r="C154" s="60"/>
      <c r="D154" s="25">
        <f>30400</f>
        <v>30400</v>
      </c>
    </row>
    <row r="155" spans="1:4" s="3" customFormat="1" ht="33.950000000000003" customHeight="1" x14ac:dyDescent="0.3">
      <c r="A155" s="18" t="s">
        <v>196</v>
      </c>
      <c r="B155" s="59" t="s">
        <v>11</v>
      </c>
      <c r="C155" s="60"/>
      <c r="D155" s="25">
        <f>14000</f>
        <v>14000</v>
      </c>
    </row>
    <row r="156" spans="1:4" s="3" customFormat="1" ht="33.950000000000003" customHeight="1" x14ac:dyDescent="0.3">
      <c r="A156" s="18" t="s">
        <v>197</v>
      </c>
      <c r="B156" s="59" t="s">
        <v>198</v>
      </c>
      <c r="C156" s="60"/>
      <c r="D156" s="25">
        <f>13600</f>
        <v>13600</v>
      </c>
    </row>
    <row r="157" spans="1:4" s="3" customFormat="1" ht="33.950000000000003" customHeight="1" x14ac:dyDescent="0.3">
      <c r="A157" s="18" t="s">
        <v>199</v>
      </c>
      <c r="B157" s="59" t="s">
        <v>69</v>
      </c>
      <c r="C157" s="60"/>
      <c r="D157" s="25">
        <f>32500</f>
        <v>32500</v>
      </c>
    </row>
    <row r="158" spans="1:4" s="3" customFormat="1" ht="37.5" customHeight="1" x14ac:dyDescent="0.3">
      <c r="A158" s="63" t="s">
        <v>80</v>
      </c>
      <c r="B158" s="64"/>
      <c r="C158" s="65"/>
      <c r="D158" s="26">
        <f>SUM(D94:D157)</f>
        <v>2016700</v>
      </c>
    </row>
    <row r="159" spans="1:4" s="3" customFormat="1" ht="56.25" customHeight="1" x14ac:dyDescent="0.3">
      <c r="A159" s="18"/>
      <c r="B159" s="66" t="s">
        <v>240</v>
      </c>
      <c r="C159" s="66"/>
      <c r="D159" s="26">
        <f>D160</f>
        <v>374000</v>
      </c>
    </row>
    <row r="160" spans="1:4" s="3" customFormat="1" ht="37.5" customHeight="1" x14ac:dyDescent="0.3">
      <c r="A160" s="18" t="s">
        <v>176</v>
      </c>
      <c r="B160" s="59" t="s">
        <v>64</v>
      </c>
      <c r="C160" s="60"/>
      <c r="D160" s="27">
        <f>175000+199000</f>
        <v>374000</v>
      </c>
    </row>
    <row r="161" spans="1:4" s="3" customFormat="1" ht="57.75" customHeight="1" x14ac:dyDescent="0.3">
      <c r="A161" s="18"/>
      <c r="B161" s="66" t="s">
        <v>247</v>
      </c>
      <c r="C161" s="66"/>
      <c r="D161" s="26">
        <f>D234+D171</f>
        <v>43403020</v>
      </c>
    </row>
    <row r="162" spans="1:4" s="3" customFormat="1" ht="33.950000000000003" customHeight="1" x14ac:dyDescent="0.3">
      <c r="A162" s="38" t="s">
        <v>131</v>
      </c>
      <c r="B162" s="61" t="s">
        <v>15</v>
      </c>
      <c r="C162" s="62"/>
      <c r="D162" s="25">
        <f>446760</f>
        <v>446760</v>
      </c>
    </row>
    <row r="163" spans="1:4" s="3" customFormat="1" ht="33.75" customHeight="1" x14ac:dyDescent="0.3">
      <c r="A163" s="38" t="s">
        <v>132</v>
      </c>
      <c r="B163" s="59" t="s">
        <v>18</v>
      </c>
      <c r="C163" s="60"/>
      <c r="D163" s="25">
        <f>439240</f>
        <v>439240</v>
      </c>
    </row>
    <row r="164" spans="1:4" s="3" customFormat="1" ht="33.950000000000003" customHeight="1" x14ac:dyDescent="0.3">
      <c r="A164" s="38" t="s">
        <v>232</v>
      </c>
      <c r="B164" s="59" t="s">
        <v>125</v>
      </c>
      <c r="C164" s="60"/>
      <c r="D164" s="25">
        <f>4222480</f>
        <v>4222480</v>
      </c>
    </row>
    <row r="165" spans="1:4" s="3" customFormat="1" ht="33.75" customHeight="1" x14ac:dyDescent="0.3">
      <c r="A165" s="38" t="s">
        <v>236</v>
      </c>
      <c r="B165" s="61" t="s">
        <v>22</v>
      </c>
      <c r="C165" s="62"/>
      <c r="D165" s="25">
        <f>827120</f>
        <v>827120</v>
      </c>
    </row>
    <row r="166" spans="1:4" s="3" customFormat="1" ht="37.5" customHeight="1" x14ac:dyDescent="0.3">
      <c r="A166" s="18" t="s">
        <v>134</v>
      </c>
      <c r="B166" s="59" t="s">
        <v>24</v>
      </c>
      <c r="C166" s="60"/>
      <c r="D166" s="25">
        <f>1730160</f>
        <v>1730160</v>
      </c>
    </row>
    <row r="167" spans="1:4" s="3" customFormat="1" ht="37.5" customHeight="1" x14ac:dyDescent="0.3">
      <c r="A167" s="18" t="s">
        <v>137</v>
      </c>
      <c r="B167" s="61" t="s">
        <v>25</v>
      </c>
      <c r="C167" s="62"/>
      <c r="D167" s="25">
        <f>368360</f>
        <v>368360</v>
      </c>
    </row>
    <row r="168" spans="1:4" s="3" customFormat="1" ht="33.75" customHeight="1" x14ac:dyDescent="0.3">
      <c r="A168" s="18" t="s">
        <v>138</v>
      </c>
      <c r="B168" s="61" t="s">
        <v>32</v>
      </c>
      <c r="C168" s="62"/>
      <c r="D168" s="25">
        <f>579280</f>
        <v>579280</v>
      </c>
    </row>
    <row r="169" spans="1:4" s="3" customFormat="1" ht="37.5" customHeight="1" x14ac:dyDescent="0.3">
      <c r="A169" s="18" t="s">
        <v>135</v>
      </c>
      <c r="B169" s="61" t="s">
        <v>29</v>
      </c>
      <c r="C169" s="62"/>
      <c r="D169" s="25">
        <f>325600</f>
        <v>325600</v>
      </c>
    </row>
    <row r="170" spans="1:4" s="3" customFormat="1" ht="37.5" customHeight="1" x14ac:dyDescent="0.3">
      <c r="A170" s="18" t="s">
        <v>136</v>
      </c>
      <c r="B170" s="61" t="s">
        <v>30</v>
      </c>
      <c r="C170" s="62"/>
      <c r="D170" s="25">
        <f>456520</f>
        <v>456520</v>
      </c>
    </row>
    <row r="171" spans="1:4" s="3" customFormat="1" ht="33.75" customHeight="1" x14ac:dyDescent="0.3">
      <c r="A171" s="63" t="s">
        <v>97</v>
      </c>
      <c r="B171" s="64"/>
      <c r="C171" s="65"/>
      <c r="D171" s="24">
        <f>SUM(D162:D170)</f>
        <v>9395520</v>
      </c>
    </row>
    <row r="172" spans="1:4" s="3" customFormat="1" ht="33.950000000000003" customHeight="1" x14ac:dyDescent="0.3">
      <c r="A172" s="18" t="s">
        <v>139</v>
      </c>
      <c r="B172" s="61" t="s">
        <v>34</v>
      </c>
      <c r="C172" s="62"/>
      <c r="D172" s="25">
        <f>4000000</f>
        <v>4000000</v>
      </c>
    </row>
    <row r="173" spans="1:4" s="3" customFormat="1" ht="33.75" customHeight="1" x14ac:dyDescent="0.3">
      <c r="A173" s="18" t="s">
        <v>140</v>
      </c>
      <c r="B173" s="61" t="s">
        <v>35</v>
      </c>
      <c r="C173" s="62"/>
      <c r="D173" s="25">
        <f>639640</f>
        <v>639640</v>
      </c>
    </row>
    <row r="174" spans="1:4" s="3" customFormat="1" ht="33.75" customHeight="1" x14ac:dyDescent="0.3">
      <c r="A174" s="18" t="s">
        <v>142</v>
      </c>
      <c r="B174" s="61" t="s">
        <v>38</v>
      </c>
      <c r="C174" s="62"/>
      <c r="D174" s="25">
        <v>200000</v>
      </c>
    </row>
    <row r="175" spans="1:4" s="3" customFormat="1" ht="33.950000000000003" customHeight="1" x14ac:dyDescent="0.3">
      <c r="A175" s="18" t="s">
        <v>143</v>
      </c>
      <c r="B175" s="61" t="s">
        <v>47</v>
      </c>
      <c r="C175" s="62"/>
      <c r="D175" s="25">
        <f>417920</f>
        <v>417920</v>
      </c>
    </row>
    <row r="176" spans="1:4" s="3" customFormat="1" ht="33.950000000000003" customHeight="1" x14ac:dyDescent="0.3">
      <c r="A176" s="38" t="s">
        <v>144</v>
      </c>
      <c r="B176" s="61" t="s">
        <v>36</v>
      </c>
      <c r="C176" s="62"/>
      <c r="D176" s="25">
        <f>616080</f>
        <v>616080</v>
      </c>
    </row>
    <row r="177" spans="1:4" s="3" customFormat="1" ht="33.75" customHeight="1" x14ac:dyDescent="0.3">
      <c r="A177" s="38" t="s">
        <v>119</v>
      </c>
      <c r="B177" s="61" t="s">
        <v>60</v>
      </c>
      <c r="C177" s="62"/>
      <c r="D177" s="25">
        <f>583320</f>
        <v>583320</v>
      </c>
    </row>
    <row r="178" spans="1:4" s="3" customFormat="1" ht="33.950000000000003" customHeight="1" x14ac:dyDescent="0.3">
      <c r="A178" s="38" t="s">
        <v>146</v>
      </c>
      <c r="B178" s="61" t="s">
        <v>48</v>
      </c>
      <c r="C178" s="62"/>
      <c r="D178" s="25">
        <f>107920</f>
        <v>107920</v>
      </c>
    </row>
    <row r="179" spans="1:4" s="3" customFormat="1" ht="33.950000000000003" customHeight="1" x14ac:dyDescent="0.3">
      <c r="A179" s="38" t="s">
        <v>147</v>
      </c>
      <c r="B179" s="61" t="s">
        <v>7</v>
      </c>
      <c r="C179" s="62"/>
      <c r="D179" s="25">
        <f>3038360</f>
        <v>3038360</v>
      </c>
    </row>
    <row r="180" spans="1:4" s="3" customFormat="1" ht="33.75" customHeight="1" x14ac:dyDescent="0.3">
      <c r="A180" s="38" t="s">
        <v>148</v>
      </c>
      <c r="B180" s="61" t="s">
        <v>57</v>
      </c>
      <c r="C180" s="62"/>
      <c r="D180" s="25">
        <f>411440</f>
        <v>411440</v>
      </c>
    </row>
    <row r="181" spans="1:4" s="3" customFormat="1" ht="33.950000000000003" customHeight="1" x14ac:dyDescent="0.3">
      <c r="A181" s="38" t="s">
        <v>237</v>
      </c>
      <c r="B181" s="61" t="s">
        <v>40</v>
      </c>
      <c r="C181" s="62"/>
      <c r="D181" s="25">
        <f>275480</f>
        <v>275480</v>
      </c>
    </row>
    <row r="182" spans="1:4" s="3" customFormat="1" ht="33.75" customHeight="1" x14ac:dyDescent="0.3">
      <c r="A182" s="38" t="s">
        <v>208</v>
      </c>
      <c r="B182" s="61" t="s">
        <v>16</v>
      </c>
      <c r="C182" s="62"/>
      <c r="D182" s="25">
        <f>423600</f>
        <v>423600</v>
      </c>
    </row>
    <row r="183" spans="1:4" s="3" customFormat="1" ht="33.950000000000003" customHeight="1" x14ac:dyDescent="0.3">
      <c r="A183" s="38" t="s">
        <v>149</v>
      </c>
      <c r="B183" s="61" t="s">
        <v>73</v>
      </c>
      <c r="C183" s="62"/>
      <c r="D183" s="25">
        <f>138900</f>
        <v>138900</v>
      </c>
    </row>
    <row r="184" spans="1:4" s="3" customFormat="1" ht="33.75" customHeight="1" x14ac:dyDescent="0.3">
      <c r="A184" s="38" t="s">
        <v>150</v>
      </c>
      <c r="B184" s="61" t="s">
        <v>6</v>
      </c>
      <c r="C184" s="62"/>
      <c r="D184" s="25">
        <f>525200</f>
        <v>525200</v>
      </c>
    </row>
    <row r="185" spans="1:4" s="3" customFormat="1" ht="33.75" customHeight="1" x14ac:dyDescent="0.3">
      <c r="A185" s="38" t="s">
        <v>151</v>
      </c>
      <c r="B185" s="61" t="s">
        <v>152</v>
      </c>
      <c r="C185" s="62"/>
      <c r="D185" s="25">
        <f>136440</f>
        <v>136440</v>
      </c>
    </row>
    <row r="186" spans="1:4" s="3" customFormat="1" ht="33.75" customHeight="1" x14ac:dyDescent="0.3">
      <c r="A186" s="38" t="s">
        <v>153</v>
      </c>
      <c r="B186" s="61" t="s">
        <v>8</v>
      </c>
      <c r="C186" s="62"/>
      <c r="D186" s="25">
        <f>400000</f>
        <v>400000</v>
      </c>
    </row>
    <row r="187" spans="1:4" s="3" customFormat="1" ht="33.950000000000003" customHeight="1" x14ac:dyDescent="0.3">
      <c r="A187" s="38" t="s">
        <v>154</v>
      </c>
      <c r="B187" s="61" t="s">
        <v>66</v>
      </c>
      <c r="C187" s="62"/>
      <c r="D187" s="25">
        <f>237640</f>
        <v>237640</v>
      </c>
    </row>
    <row r="188" spans="1:4" s="3" customFormat="1" ht="33.950000000000003" customHeight="1" x14ac:dyDescent="0.3">
      <c r="A188" s="38" t="s">
        <v>155</v>
      </c>
      <c r="B188" s="61" t="s">
        <v>67</v>
      </c>
      <c r="C188" s="62"/>
      <c r="D188" s="25">
        <f>1055440</f>
        <v>1055440</v>
      </c>
    </row>
    <row r="189" spans="1:4" s="3" customFormat="1" ht="33.950000000000003" customHeight="1" x14ac:dyDescent="0.3">
      <c r="A189" s="38" t="s">
        <v>156</v>
      </c>
      <c r="B189" s="61" t="s">
        <v>157</v>
      </c>
      <c r="C189" s="62"/>
      <c r="D189" s="25">
        <f>232720</f>
        <v>232720</v>
      </c>
    </row>
    <row r="190" spans="1:4" s="3" customFormat="1" ht="33.950000000000003" customHeight="1" x14ac:dyDescent="0.3">
      <c r="A190" s="38" t="s">
        <v>158</v>
      </c>
      <c r="B190" s="61" t="s">
        <v>49</v>
      </c>
      <c r="C190" s="62"/>
      <c r="D190" s="25">
        <f>93000</f>
        <v>93000</v>
      </c>
    </row>
    <row r="191" spans="1:4" s="3" customFormat="1" ht="33.950000000000003" customHeight="1" x14ac:dyDescent="0.3">
      <c r="A191" s="38" t="s">
        <v>159</v>
      </c>
      <c r="B191" s="61" t="s">
        <v>50</v>
      </c>
      <c r="C191" s="62"/>
      <c r="D191" s="25">
        <f>40520</f>
        <v>40520</v>
      </c>
    </row>
    <row r="192" spans="1:4" s="3" customFormat="1" ht="33.950000000000003" customHeight="1" x14ac:dyDescent="0.3">
      <c r="A192" s="38" t="s">
        <v>160</v>
      </c>
      <c r="B192" s="61" t="s">
        <v>74</v>
      </c>
      <c r="C192" s="62"/>
      <c r="D192" s="25">
        <f>66440</f>
        <v>66440</v>
      </c>
    </row>
    <row r="193" spans="1:4" s="3" customFormat="1" ht="33.950000000000003" customHeight="1" x14ac:dyDescent="0.3">
      <c r="A193" s="38" t="s">
        <v>161</v>
      </c>
      <c r="B193" s="61" t="s">
        <v>20</v>
      </c>
      <c r="C193" s="62"/>
      <c r="D193" s="25">
        <f>522720</f>
        <v>522720</v>
      </c>
    </row>
    <row r="194" spans="1:4" s="3" customFormat="1" ht="33.75" customHeight="1" x14ac:dyDescent="0.3">
      <c r="A194" s="38" t="s">
        <v>162</v>
      </c>
      <c r="B194" s="61" t="s">
        <v>70</v>
      </c>
      <c r="C194" s="62"/>
      <c r="D194" s="25">
        <f>240000</f>
        <v>240000</v>
      </c>
    </row>
    <row r="195" spans="1:4" s="3" customFormat="1" ht="33.950000000000003" customHeight="1" x14ac:dyDescent="0.3">
      <c r="A195" s="18" t="s">
        <v>163</v>
      </c>
      <c r="B195" s="59" t="s">
        <v>164</v>
      </c>
      <c r="C195" s="60"/>
      <c r="D195" s="25">
        <f>157440</f>
        <v>157440</v>
      </c>
    </row>
    <row r="196" spans="1:4" s="3" customFormat="1" ht="33.950000000000003" customHeight="1" x14ac:dyDescent="0.3">
      <c r="A196" s="18" t="s">
        <v>165</v>
      </c>
      <c r="B196" s="59" t="s">
        <v>9</v>
      </c>
      <c r="C196" s="60"/>
      <c r="D196" s="25">
        <f>198520</f>
        <v>198520</v>
      </c>
    </row>
    <row r="197" spans="1:4" s="3" customFormat="1" ht="33.75" customHeight="1" x14ac:dyDescent="0.3">
      <c r="A197" s="18" t="s">
        <v>166</v>
      </c>
      <c r="B197" s="59" t="s">
        <v>78</v>
      </c>
      <c r="C197" s="60"/>
      <c r="D197" s="25">
        <f>120000</f>
        <v>120000</v>
      </c>
    </row>
    <row r="198" spans="1:4" s="3" customFormat="1" ht="33.950000000000003" customHeight="1" x14ac:dyDescent="0.3">
      <c r="A198" s="18" t="s">
        <v>255</v>
      </c>
      <c r="B198" s="59" t="s">
        <v>61</v>
      </c>
      <c r="C198" s="60"/>
      <c r="D198" s="25">
        <f>200000</f>
        <v>200000</v>
      </c>
    </row>
    <row r="199" spans="1:4" s="3" customFormat="1" ht="33.950000000000003" customHeight="1" x14ac:dyDescent="0.3">
      <c r="A199" s="18" t="s">
        <v>167</v>
      </c>
      <c r="B199" s="59" t="s">
        <v>100</v>
      </c>
      <c r="C199" s="60"/>
      <c r="D199" s="25">
        <f>710400</f>
        <v>710400</v>
      </c>
    </row>
    <row r="200" spans="1:4" s="3" customFormat="1" ht="33.950000000000003" customHeight="1" x14ac:dyDescent="0.3">
      <c r="A200" s="18" t="s">
        <v>168</v>
      </c>
      <c r="B200" s="59" t="s">
        <v>99</v>
      </c>
      <c r="C200" s="60"/>
      <c r="D200" s="25">
        <f>400920</f>
        <v>400920</v>
      </c>
    </row>
    <row r="201" spans="1:4" s="3" customFormat="1" ht="33.950000000000003" customHeight="1" x14ac:dyDescent="0.3">
      <c r="A201" s="18" t="s">
        <v>169</v>
      </c>
      <c r="B201" s="59" t="s">
        <v>41</v>
      </c>
      <c r="C201" s="60"/>
      <c r="D201" s="25">
        <f>40000+60000</f>
        <v>100000</v>
      </c>
    </row>
    <row r="202" spans="1:4" s="3" customFormat="1" ht="33.75" customHeight="1" x14ac:dyDescent="0.3">
      <c r="A202" s="18" t="s">
        <v>170</v>
      </c>
      <c r="B202" s="59" t="s">
        <v>42</v>
      </c>
      <c r="C202" s="60"/>
      <c r="D202" s="25">
        <f>99760</f>
        <v>99760</v>
      </c>
    </row>
    <row r="203" spans="1:4" s="3" customFormat="1" ht="33.950000000000003" customHeight="1" x14ac:dyDescent="0.3">
      <c r="A203" s="18" t="s">
        <v>171</v>
      </c>
      <c r="B203" s="59" t="s">
        <v>59</v>
      </c>
      <c r="C203" s="60"/>
      <c r="D203" s="25">
        <f>1200000</f>
        <v>1200000</v>
      </c>
    </row>
    <row r="204" spans="1:4" s="3" customFormat="1" ht="33.950000000000003" customHeight="1" x14ac:dyDescent="0.3">
      <c r="A204" s="18" t="s">
        <v>172</v>
      </c>
      <c r="B204" s="59" t="s">
        <v>79</v>
      </c>
      <c r="C204" s="60"/>
      <c r="D204" s="25">
        <f>2846280</f>
        <v>2846280</v>
      </c>
    </row>
    <row r="205" spans="1:4" s="3" customFormat="1" ht="33.950000000000003" customHeight="1" x14ac:dyDescent="0.3">
      <c r="A205" s="18" t="s">
        <v>173</v>
      </c>
      <c r="B205" s="59" t="s">
        <v>23</v>
      </c>
      <c r="C205" s="60"/>
      <c r="D205" s="25">
        <f>100240</f>
        <v>100240</v>
      </c>
    </row>
    <row r="206" spans="1:4" s="3" customFormat="1" ht="33.950000000000003" customHeight="1" x14ac:dyDescent="0.3">
      <c r="A206" s="18" t="s">
        <v>174</v>
      </c>
      <c r="B206" s="59" t="s">
        <v>43</v>
      </c>
      <c r="C206" s="60"/>
      <c r="D206" s="25">
        <f>60360</f>
        <v>60360</v>
      </c>
    </row>
    <row r="207" spans="1:4" s="3" customFormat="1" ht="33.75" customHeight="1" x14ac:dyDescent="0.3">
      <c r="A207" s="18" t="s">
        <v>175</v>
      </c>
      <c r="B207" s="59" t="s">
        <v>10</v>
      </c>
      <c r="C207" s="60"/>
      <c r="D207" s="25">
        <f>170200</f>
        <v>170200</v>
      </c>
    </row>
    <row r="208" spans="1:4" s="3" customFormat="1" ht="33.950000000000003" customHeight="1" x14ac:dyDescent="0.3">
      <c r="A208" s="18" t="s">
        <v>178</v>
      </c>
      <c r="B208" s="59" t="s">
        <v>75</v>
      </c>
      <c r="C208" s="60"/>
      <c r="D208" s="25">
        <f>359000</f>
        <v>359000</v>
      </c>
    </row>
    <row r="209" spans="1:4" s="3" customFormat="1" ht="33.950000000000003" customHeight="1" x14ac:dyDescent="0.3">
      <c r="A209" s="18" t="s">
        <v>179</v>
      </c>
      <c r="B209" s="59" t="s">
        <v>77</v>
      </c>
      <c r="C209" s="60"/>
      <c r="D209" s="25">
        <f>1603320</f>
        <v>1603320</v>
      </c>
    </row>
    <row r="210" spans="1:4" s="3" customFormat="1" ht="33.75" customHeight="1" x14ac:dyDescent="0.3">
      <c r="A210" s="18" t="s">
        <v>176</v>
      </c>
      <c r="B210" s="59" t="s">
        <v>64</v>
      </c>
      <c r="C210" s="60"/>
      <c r="D210" s="25">
        <f>927560</f>
        <v>927560</v>
      </c>
    </row>
    <row r="211" spans="1:4" s="3" customFormat="1" ht="33.950000000000003" customHeight="1" x14ac:dyDescent="0.3">
      <c r="A211" s="18" t="s">
        <v>177</v>
      </c>
      <c r="B211" s="59" t="s">
        <v>26</v>
      </c>
      <c r="C211" s="60"/>
      <c r="D211" s="25">
        <f>440000+406920</f>
        <v>846920</v>
      </c>
    </row>
    <row r="212" spans="1:4" s="3" customFormat="1" ht="33.950000000000003" customHeight="1" x14ac:dyDescent="0.3">
      <c r="A212" s="18" t="s">
        <v>180</v>
      </c>
      <c r="B212" s="59" t="s">
        <v>12</v>
      </c>
      <c r="C212" s="60"/>
      <c r="D212" s="25">
        <f>1313440</f>
        <v>1313440</v>
      </c>
    </row>
    <row r="213" spans="1:4" s="3" customFormat="1" ht="33.950000000000003" customHeight="1" x14ac:dyDescent="0.3">
      <c r="A213" s="18" t="s">
        <v>181</v>
      </c>
      <c r="B213" s="59" t="s">
        <v>76</v>
      </c>
      <c r="C213" s="60"/>
      <c r="D213" s="25">
        <f>185800</f>
        <v>185800</v>
      </c>
    </row>
    <row r="214" spans="1:4" s="3" customFormat="1" ht="33.75" customHeight="1" x14ac:dyDescent="0.3">
      <c r="A214" s="18" t="s">
        <v>182</v>
      </c>
      <c r="B214" s="59" t="s">
        <v>28</v>
      </c>
      <c r="C214" s="60"/>
      <c r="D214" s="25">
        <f>115280</f>
        <v>115280</v>
      </c>
    </row>
    <row r="215" spans="1:4" s="3" customFormat="1" ht="33.950000000000003" customHeight="1" x14ac:dyDescent="0.3">
      <c r="A215" s="18" t="s">
        <v>238</v>
      </c>
      <c r="B215" s="59" t="s">
        <v>65</v>
      </c>
      <c r="C215" s="60"/>
      <c r="D215" s="25">
        <f>337200</f>
        <v>337200</v>
      </c>
    </row>
    <row r="216" spans="1:4" s="3" customFormat="1" ht="33.950000000000003" customHeight="1" x14ac:dyDescent="0.3">
      <c r="A216" s="18" t="s">
        <v>183</v>
      </c>
      <c r="B216" s="59" t="s">
        <v>52</v>
      </c>
      <c r="C216" s="60"/>
      <c r="D216" s="25">
        <f>214440</f>
        <v>214440</v>
      </c>
    </row>
    <row r="217" spans="1:4" s="3" customFormat="1" ht="33.950000000000003" customHeight="1" x14ac:dyDescent="0.3">
      <c r="A217" s="18" t="s">
        <v>184</v>
      </c>
      <c r="B217" s="59" t="s">
        <v>72</v>
      </c>
      <c r="C217" s="60"/>
      <c r="D217" s="25">
        <f>109600</f>
        <v>109600</v>
      </c>
    </row>
    <row r="218" spans="1:4" s="3" customFormat="1" ht="33.950000000000003" customHeight="1" x14ac:dyDescent="0.3">
      <c r="A218" s="18" t="s">
        <v>185</v>
      </c>
      <c r="B218" s="59" t="s">
        <v>37</v>
      </c>
      <c r="C218" s="60"/>
      <c r="D218" s="25">
        <f>176880</f>
        <v>176880</v>
      </c>
    </row>
    <row r="219" spans="1:4" s="3" customFormat="1" ht="33.950000000000003" customHeight="1" x14ac:dyDescent="0.3">
      <c r="A219" s="18" t="s">
        <v>210</v>
      </c>
      <c r="B219" s="59" t="s">
        <v>209</v>
      </c>
      <c r="C219" s="60"/>
      <c r="D219" s="25">
        <f>433640</f>
        <v>433640</v>
      </c>
    </row>
    <row r="220" spans="1:4" s="3" customFormat="1" ht="33.75" customHeight="1" x14ac:dyDescent="0.3">
      <c r="A220" s="18" t="s">
        <v>186</v>
      </c>
      <c r="B220" s="59" t="s">
        <v>45</v>
      </c>
      <c r="C220" s="60"/>
      <c r="D220" s="25">
        <f>2493040</f>
        <v>2493040</v>
      </c>
    </row>
    <row r="221" spans="1:4" s="3" customFormat="1" ht="33.950000000000003" customHeight="1" x14ac:dyDescent="0.3">
      <c r="A221" s="18" t="s">
        <v>187</v>
      </c>
      <c r="B221" s="59" t="s">
        <v>124</v>
      </c>
      <c r="C221" s="60"/>
      <c r="D221" s="25">
        <f>76560</f>
        <v>76560</v>
      </c>
    </row>
    <row r="222" spans="1:4" s="3" customFormat="1" ht="33.75" customHeight="1" x14ac:dyDescent="0.3">
      <c r="A222" s="18" t="s">
        <v>188</v>
      </c>
      <c r="B222" s="59" t="s">
        <v>44</v>
      </c>
      <c r="C222" s="60"/>
      <c r="D222" s="25">
        <f>120000</f>
        <v>120000</v>
      </c>
    </row>
    <row r="223" spans="1:4" s="3" customFormat="1" ht="33.950000000000003" customHeight="1" x14ac:dyDescent="0.3">
      <c r="A223" s="18" t="s">
        <v>189</v>
      </c>
      <c r="B223" s="59" t="s">
        <v>53</v>
      </c>
      <c r="C223" s="60"/>
      <c r="D223" s="25">
        <f>120000+277400</f>
        <v>397400</v>
      </c>
    </row>
    <row r="224" spans="1:4" s="3" customFormat="1" ht="33.950000000000003" customHeight="1" x14ac:dyDescent="0.3">
      <c r="A224" s="18" t="s">
        <v>190</v>
      </c>
      <c r="B224" s="59" t="s">
        <v>191</v>
      </c>
      <c r="C224" s="60"/>
      <c r="D224" s="25">
        <f>331480</f>
        <v>331480</v>
      </c>
    </row>
    <row r="225" spans="1:4" s="3" customFormat="1" ht="33.950000000000003" customHeight="1" x14ac:dyDescent="0.3">
      <c r="A225" s="18" t="s">
        <v>192</v>
      </c>
      <c r="B225" s="59" t="s">
        <v>54</v>
      </c>
      <c r="C225" s="60"/>
      <c r="D225" s="25">
        <f>388920</f>
        <v>388920</v>
      </c>
    </row>
    <row r="226" spans="1:4" s="3" customFormat="1" ht="33.950000000000003" customHeight="1" x14ac:dyDescent="0.3">
      <c r="A226" s="18" t="s">
        <v>193</v>
      </c>
      <c r="B226" s="59" t="s">
        <v>63</v>
      </c>
      <c r="C226" s="60"/>
      <c r="D226" s="25">
        <f>505280</f>
        <v>505280</v>
      </c>
    </row>
    <row r="227" spans="1:4" s="3" customFormat="1" ht="33.950000000000003" customHeight="1" x14ac:dyDescent="0.3">
      <c r="A227" s="18" t="s">
        <v>194</v>
      </c>
      <c r="B227" s="59" t="s">
        <v>71</v>
      </c>
      <c r="C227" s="60"/>
      <c r="D227" s="25">
        <f>320400</f>
        <v>320400</v>
      </c>
    </row>
    <row r="228" spans="1:4" s="3" customFormat="1" ht="33.950000000000003" customHeight="1" x14ac:dyDescent="0.3">
      <c r="A228" s="18" t="s">
        <v>195</v>
      </c>
      <c r="B228" s="59" t="s">
        <v>55</v>
      </c>
      <c r="C228" s="60"/>
      <c r="D228" s="25">
        <f>330240</f>
        <v>330240</v>
      </c>
    </row>
    <row r="229" spans="1:4" s="3" customFormat="1" ht="33.950000000000003" customHeight="1" x14ac:dyDescent="0.3">
      <c r="A229" s="18" t="s">
        <v>239</v>
      </c>
      <c r="B229" s="59" t="s">
        <v>13</v>
      </c>
      <c r="C229" s="60"/>
      <c r="D229" s="25">
        <f>1200000</f>
        <v>1200000</v>
      </c>
    </row>
    <row r="230" spans="1:4" s="3" customFormat="1" ht="33.950000000000003" customHeight="1" x14ac:dyDescent="0.3">
      <c r="A230" s="18" t="s">
        <v>196</v>
      </c>
      <c r="B230" s="59" t="s">
        <v>11</v>
      </c>
      <c r="C230" s="60"/>
      <c r="D230" s="25">
        <f>156240</f>
        <v>156240</v>
      </c>
    </row>
    <row r="231" spans="1:4" s="3" customFormat="1" ht="33.950000000000003" customHeight="1" x14ac:dyDescent="0.3">
      <c r="A231" s="18" t="s">
        <v>197</v>
      </c>
      <c r="B231" s="59" t="s">
        <v>198</v>
      </c>
      <c r="C231" s="60"/>
      <c r="D231" s="25">
        <f>130680</f>
        <v>130680</v>
      </c>
    </row>
    <row r="232" spans="1:4" s="3" customFormat="1" ht="33.75" customHeight="1" x14ac:dyDescent="0.3">
      <c r="A232" s="18" t="s">
        <v>248</v>
      </c>
      <c r="B232" s="59" t="s">
        <v>68</v>
      </c>
      <c r="C232" s="60"/>
      <c r="D232" s="25">
        <f>80000</f>
        <v>80000</v>
      </c>
    </row>
    <row r="233" spans="1:4" s="3" customFormat="1" ht="33.950000000000003" customHeight="1" x14ac:dyDescent="0.3">
      <c r="A233" s="18" t="s">
        <v>199</v>
      </c>
      <c r="B233" s="59" t="s">
        <v>69</v>
      </c>
      <c r="C233" s="60"/>
      <c r="D233" s="25">
        <f>87280</f>
        <v>87280</v>
      </c>
    </row>
    <row r="234" spans="1:4" s="3" customFormat="1" ht="37.5" customHeight="1" x14ac:dyDescent="0.3">
      <c r="A234" s="63" t="s">
        <v>80</v>
      </c>
      <c r="B234" s="64"/>
      <c r="C234" s="65"/>
      <c r="D234" s="26">
        <f>SUM(D172:D233)</f>
        <v>34007500</v>
      </c>
    </row>
    <row r="235" spans="1:4" s="3" customFormat="1" ht="52.5" customHeight="1" x14ac:dyDescent="0.3">
      <c r="A235" s="38"/>
      <c r="B235" s="66" t="s">
        <v>249</v>
      </c>
      <c r="C235" s="66"/>
      <c r="D235" s="24">
        <f>D239+D241</f>
        <v>306000000</v>
      </c>
    </row>
    <row r="236" spans="1:4" s="3" customFormat="1" ht="33.950000000000003" customHeight="1" x14ac:dyDescent="0.3">
      <c r="A236" s="38" t="s">
        <v>130</v>
      </c>
      <c r="B236" s="61" t="s">
        <v>17</v>
      </c>
      <c r="C236" s="62"/>
      <c r="D236" s="25">
        <f>120000000</f>
        <v>120000000</v>
      </c>
    </row>
    <row r="237" spans="1:4" s="3" customFormat="1" ht="33.75" customHeight="1" x14ac:dyDescent="0.3">
      <c r="A237" s="38" t="s">
        <v>133</v>
      </c>
      <c r="B237" s="61" t="s">
        <v>19</v>
      </c>
      <c r="C237" s="62"/>
      <c r="D237" s="25">
        <f>146000000</f>
        <v>146000000</v>
      </c>
    </row>
    <row r="238" spans="1:4" s="3" customFormat="1" ht="37.5" customHeight="1" x14ac:dyDescent="0.3">
      <c r="A238" s="18" t="s">
        <v>134</v>
      </c>
      <c r="B238" s="59" t="s">
        <v>24</v>
      </c>
      <c r="C238" s="60"/>
      <c r="D238" s="25">
        <f>10000000</f>
        <v>10000000</v>
      </c>
    </row>
    <row r="239" spans="1:4" s="3" customFormat="1" ht="33.75" customHeight="1" x14ac:dyDescent="0.3">
      <c r="A239" s="63" t="s">
        <v>97</v>
      </c>
      <c r="B239" s="64"/>
      <c r="C239" s="65"/>
      <c r="D239" s="24">
        <f>SUM(D236:D238)</f>
        <v>276000000</v>
      </c>
    </row>
    <row r="240" spans="1:4" s="3" customFormat="1" ht="33.75" customHeight="1" x14ac:dyDescent="0.3">
      <c r="A240" s="18" t="s">
        <v>239</v>
      </c>
      <c r="B240" s="59" t="s">
        <v>13</v>
      </c>
      <c r="C240" s="60"/>
      <c r="D240" s="25">
        <f>3000000+27000000</f>
        <v>30000000</v>
      </c>
    </row>
    <row r="241" spans="1:4" s="3" customFormat="1" ht="37.5" customHeight="1" x14ac:dyDescent="0.3">
      <c r="A241" s="63" t="s">
        <v>80</v>
      </c>
      <c r="B241" s="64"/>
      <c r="C241" s="65"/>
      <c r="D241" s="26">
        <f>D240</f>
        <v>30000000</v>
      </c>
    </row>
    <row r="242" spans="1:4" s="3" customFormat="1" ht="54" customHeight="1" x14ac:dyDescent="0.3">
      <c r="A242" s="37"/>
      <c r="B242" s="66" t="s">
        <v>288</v>
      </c>
      <c r="C242" s="66"/>
      <c r="D242" s="33">
        <f>D243</f>
        <v>200000</v>
      </c>
    </row>
    <row r="243" spans="1:4" s="3" customFormat="1" ht="37.5" customHeight="1" x14ac:dyDescent="0.3">
      <c r="A243" s="18" t="s">
        <v>143</v>
      </c>
      <c r="B243" s="61" t="s">
        <v>47</v>
      </c>
      <c r="C243" s="62"/>
      <c r="D243" s="25">
        <f>200000</f>
        <v>200000</v>
      </c>
    </row>
    <row r="244" spans="1:4" s="3" customFormat="1" ht="37.5" customHeight="1" x14ac:dyDescent="0.3">
      <c r="A244" s="67" t="s">
        <v>245</v>
      </c>
      <c r="B244" s="68"/>
      <c r="C244" s="68"/>
      <c r="D244" s="69"/>
    </row>
    <row r="245" spans="1:4" s="3" customFormat="1" ht="51" customHeight="1" x14ac:dyDescent="0.3">
      <c r="A245" s="40">
        <v>41031400</v>
      </c>
      <c r="B245" s="66" t="s">
        <v>250</v>
      </c>
      <c r="C245" s="66"/>
      <c r="D245" s="26">
        <f>D246</f>
        <v>15022956</v>
      </c>
    </row>
    <row r="246" spans="1:4" s="3" customFormat="1" ht="37.5" customHeight="1" x14ac:dyDescent="0.3">
      <c r="A246" s="39">
        <v>9900000000</v>
      </c>
      <c r="B246" s="61" t="s">
        <v>1</v>
      </c>
      <c r="C246" s="62"/>
      <c r="D246" s="27">
        <f>15022956</f>
        <v>15022956</v>
      </c>
    </row>
    <row r="247" spans="1:4" s="3" customFormat="1" ht="48.75" customHeight="1" x14ac:dyDescent="0.3">
      <c r="A247" s="40">
        <v>41033100</v>
      </c>
      <c r="B247" s="66" t="s">
        <v>246</v>
      </c>
      <c r="C247" s="66"/>
      <c r="D247" s="26">
        <f>D248</f>
        <v>136793198</v>
      </c>
    </row>
    <row r="248" spans="1:4" s="3" customFormat="1" ht="37.5" customHeight="1" x14ac:dyDescent="0.3">
      <c r="A248" s="39">
        <v>9900000000</v>
      </c>
      <c r="B248" s="61" t="s">
        <v>1</v>
      </c>
      <c r="C248" s="62"/>
      <c r="D248" s="27">
        <f>197000000-60206802</f>
        <v>136793198</v>
      </c>
    </row>
    <row r="249" spans="1:4" s="3" customFormat="1" ht="33" customHeight="1" x14ac:dyDescent="0.3">
      <c r="A249" s="40">
        <v>41053900</v>
      </c>
      <c r="B249" s="70" t="s">
        <v>113</v>
      </c>
      <c r="C249" s="71"/>
      <c r="D249" s="24">
        <f>D251+D328+D330+D326+D335</f>
        <v>84213655</v>
      </c>
    </row>
    <row r="250" spans="1:4" s="3" customFormat="1" ht="33" customHeight="1" x14ac:dyDescent="0.3">
      <c r="A250" s="39"/>
      <c r="B250" s="61" t="s">
        <v>114</v>
      </c>
      <c r="C250" s="62"/>
      <c r="D250" s="25"/>
    </row>
    <row r="251" spans="1:4" s="3" customFormat="1" ht="57.75" customHeight="1" x14ac:dyDescent="0.3">
      <c r="A251" s="18"/>
      <c r="B251" s="66" t="s">
        <v>247</v>
      </c>
      <c r="C251" s="66"/>
      <c r="D251" s="26">
        <f>D325+D261</f>
        <v>65481780</v>
      </c>
    </row>
    <row r="252" spans="1:4" s="3" customFormat="1" ht="33.950000000000003" customHeight="1" x14ac:dyDescent="0.3">
      <c r="A252" s="38" t="s">
        <v>131</v>
      </c>
      <c r="B252" s="61" t="s">
        <v>15</v>
      </c>
      <c r="C252" s="62"/>
      <c r="D252" s="25">
        <f>670140</f>
        <v>670140</v>
      </c>
    </row>
    <row r="253" spans="1:4" s="3" customFormat="1" ht="33.75" customHeight="1" x14ac:dyDescent="0.3">
      <c r="A253" s="38" t="s">
        <v>132</v>
      </c>
      <c r="B253" s="59" t="s">
        <v>18</v>
      </c>
      <c r="C253" s="60"/>
      <c r="D253" s="25">
        <f>658860</f>
        <v>658860</v>
      </c>
    </row>
    <row r="254" spans="1:4" s="3" customFormat="1" ht="33.950000000000003" customHeight="1" x14ac:dyDescent="0.3">
      <c r="A254" s="38" t="s">
        <v>232</v>
      </c>
      <c r="B254" s="59" t="s">
        <v>125</v>
      </c>
      <c r="C254" s="60"/>
      <c r="D254" s="25">
        <f>6333720</f>
        <v>6333720</v>
      </c>
    </row>
    <row r="255" spans="1:4" s="3" customFormat="1" ht="33.75" customHeight="1" x14ac:dyDescent="0.3">
      <c r="A255" s="38" t="s">
        <v>236</v>
      </c>
      <c r="B255" s="61" t="s">
        <v>22</v>
      </c>
      <c r="C255" s="62"/>
      <c r="D255" s="25">
        <f>1240680</f>
        <v>1240680</v>
      </c>
    </row>
    <row r="256" spans="1:4" s="3" customFormat="1" ht="37.5" customHeight="1" x14ac:dyDescent="0.3">
      <c r="A256" s="18" t="s">
        <v>134</v>
      </c>
      <c r="B256" s="59" t="s">
        <v>24</v>
      </c>
      <c r="C256" s="60"/>
      <c r="D256" s="25">
        <v>2595240</v>
      </c>
    </row>
    <row r="257" spans="1:4" s="3" customFormat="1" ht="37.5" customHeight="1" x14ac:dyDescent="0.3">
      <c r="A257" s="18" t="s">
        <v>137</v>
      </c>
      <c r="B257" s="61" t="s">
        <v>25</v>
      </c>
      <c r="C257" s="62"/>
      <c r="D257" s="25">
        <f>552540</f>
        <v>552540</v>
      </c>
    </row>
    <row r="258" spans="1:4" s="3" customFormat="1" ht="33.75" customHeight="1" x14ac:dyDescent="0.3">
      <c r="A258" s="18" t="s">
        <v>138</v>
      </c>
      <c r="B258" s="61" t="s">
        <v>32</v>
      </c>
      <c r="C258" s="62"/>
      <c r="D258" s="25">
        <f>868920</f>
        <v>868920</v>
      </c>
    </row>
    <row r="259" spans="1:4" s="3" customFormat="1" ht="37.5" customHeight="1" x14ac:dyDescent="0.3">
      <c r="A259" s="18" t="s">
        <v>135</v>
      </c>
      <c r="B259" s="61" t="s">
        <v>29</v>
      </c>
      <c r="C259" s="62"/>
      <c r="D259" s="25">
        <f>488300</f>
        <v>488300</v>
      </c>
    </row>
    <row r="260" spans="1:4" s="3" customFormat="1" ht="37.5" customHeight="1" x14ac:dyDescent="0.3">
      <c r="A260" s="18" t="s">
        <v>136</v>
      </c>
      <c r="B260" s="61" t="s">
        <v>30</v>
      </c>
      <c r="C260" s="62"/>
      <c r="D260" s="25">
        <f>684780</f>
        <v>684780</v>
      </c>
    </row>
    <row r="261" spans="1:4" s="3" customFormat="1" ht="33.75" customHeight="1" x14ac:dyDescent="0.3">
      <c r="A261" s="63" t="s">
        <v>97</v>
      </c>
      <c r="B261" s="64"/>
      <c r="C261" s="65"/>
      <c r="D261" s="24">
        <f>SUM(D252:D260)</f>
        <v>14093180</v>
      </c>
    </row>
    <row r="262" spans="1:4" s="3" customFormat="1" ht="33.950000000000003" customHeight="1" x14ac:dyDescent="0.3">
      <c r="A262" s="18" t="s">
        <v>139</v>
      </c>
      <c r="B262" s="61" t="s">
        <v>34</v>
      </c>
      <c r="C262" s="62"/>
      <c r="D262" s="25">
        <f>6000000</f>
        <v>6000000</v>
      </c>
    </row>
    <row r="263" spans="1:4" s="3" customFormat="1" ht="33.75" customHeight="1" x14ac:dyDescent="0.3">
      <c r="A263" s="18" t="s">
        <v>140</v>
      </c>
      <c r="B263" s="61" t="s">
        <v>35</v>
      </c>
      <c r="C263" s="62"/>
      <c r="D263" s="25">
        <f>959460</f>
        <v>959460</v>
      </c>
    </row>
    <row r="264" spans="1:4" s="3" customFormat="1" ht="33.75" customHeight="1" x14ac:dyDescent="0.3">
      <c r="A264" s="18" t="s">
        <v>142</v>
      </c>
      <c r="B264" s="61" t="s">
        <v>38</v>
      </c>
      <c r="C264" s="62"/>
      <c r="D264" s="25">
        <f>300000</f>
        <v>300000</v>
      </c>
    </row>
    <row r="265" spans="1:4" s="3" customFormat="1" ht="33.950000000000003" customHeight="1" x14ac:dyDescent="0.3">
      <c r="A265" s="18" t="s">
        <v>143</v>
      </c>
      <c r="B265" s="61" t="s">
        <v>47</v>
      </c>
      <c r="C265" s="62"/>
      <c r="D265" s="25">
        <f>626880</f>
        <v>626880</v>
      </c>
    </row>
    <row r="266" spans="1:4" s="3" customFormat="1" ht="33.950000000000003" customHeight="1" x14ac:dyDescent="0.3">
      <c r="A266" s="38" t="s">
        <v>144</v>
      </c>
      <c r="B266" s="61" t="s">
        <v>36</v>
      </c>
      <c r="C266" s="62"/>
      <c r="D266" s="25">
        <f>924120</f>
        <v>924120</v>
      </c>
    </row>
    <row r="267" spans="1:4" s="3" customFormat="1" ht="33.950000000000003" customHeight="1" x14ac:dyDescent="0.3">
      <c r="A267" s="38" t="s">
        <v>145</v>
      </c>
      <c r="B267" s="61" t="s">
        <v>112</v>
      </c>
      <c r="C267" s="62"/>
      <c r="D267" s="25">
        <f>500000</f>
        <v>500000</v>
      </c>
    </row>
    <row r="268" spans="1:4" s="3" customFormat="1" ht="33.75" customHeight="1" x14ac:dyDescent="0.3">
      <c r="A268" s="38" t="s">
        <v>119</v>
      </c>
      <c r="B268" s="61" t="s">
        <v>60</v>
      </c>
      <c r="C268" s="62"/>
      <c r="D268" s="25">
        <f>874980</f>
        <v>874980</v>
      </c>
    </row>
    <row r="269" spans="1:4" s="3" customFormat="1" ht="33.950000000000003" customHeight="1" x14ac:dyDescent="0.3">
      <c r="A269" s="38" t="s">
        <v>146</v>
      </c>
      <c r="B269" s="61" t="s">
        <v>48</v>
      </c>
      <c r="C269" s="62"/>
      <c r="D269" s="25">
        <f>161880</f>
        <v>161880</v>
      </c>
    </row>
    <row r="270" spans="1:4" s="3" customFormat="1" ht="33.950000000000003" customHeight="1" x14ac:dyDescent="0.3">
      <c r="A270" s="38" t="s">
        <v>147</v>
      </c>
      <c r="B270" s="61" t="s">
        <v>7</v>
      </c>
      <c r="C270" s="62"/>
      <c r="D270" s="25">
        <f>4557540</f>
        <v>4557540</v>
      </c>
    </row>
    <row r="271" spans="1:4" s="3" customFormat="1" ht="33.950000000000003" customHeight="1" x14ac:dyDescent="0.3">
      <c r="A271" s="38" t="s">
        <v>148</v>
      </c>
      <c r="B271" s="61" t="s">
        <v>57</v>
      </c>
      <c r="C271" s="62"/>
      <c r="D271" s="25">
        <f>617160</f>
        <v>617160</v>
      </c>
    </row>
    <row r="272" spans="1:4" s="3" customFormat="1" ht="33.950000000000003" customHeight="1" x14ac:dyDescent="0.3">
      <c r="A272" s="38" t="s">
        <v>237</v>
      </c>
      <c r="B272" s="61" t="s">
        <v>40</v>
      </c>
      <c r="C272" s="62"/>
      <c r="D272" s="25">
        <f>413220</f>
        <v>413220</v>
      </c>
    </row>
    <row r="273" spans="1:4" s="3" customFormat="1" ht="33.75" customHeight="1" x14ac:dyDescent="0.3">
      <c r="A273" s="38" t="s">
        <v>208</v>
      </c>
      <c r="B273" s="61" t="s">
        <v>16</v>
      </c>
      <c r="C273" s="62"/>
      <c r="D273" s="25">
        <f>635500</f>
        <v>635500</v>
      </c>
    </row>
    <row r="274" spans="1:4" s="3" customFormat="1" ht="33.950000000000003" customHeight="1" x14ac:dyDescent="0.3">
      <c r="A274" s="38" t="s">
        <v>149</v>
      </c>
      <c r="B274" s="61" t="s">
        <v>73</v>
      </c>
      <c r="C274" s="62"/>
      <c r="D274" s="25">
        <f>208300</f>
        <v>208300</v>
      </c>
    </row>
    <row r="275" spans="1:4" s="3" customFormat="1" ht="33.75" customHeight="1" x14ac:dyDescent="0.3">
      <c r="A275" s="38" t="s">
        <v>150</v>
      </c>
      <c r="B275" s="61" t="s">
        <v>6</v>
      </c>
      <c r="C275" s="62"/>
      <c r="D275" s="25">
        <f>787000</f>
        <v>787000</v>
      </c>
    </row>
    <row r="276" spans="1:4" s="3" customFormat="1" ht="33.75" customHeight="1" x14ac:dyDescent="0.3">
      <c r="A276" s="38" t="s">
        <v>151</v>
      </c>
      <c r="B276" s="61" t="s">
        <v>152</v>
      </c>
      <c r="C276" s="62"/>
      <c r="D276" s="25">
        <f>204660</f>
        <v>204660</v>
      </c>
    </row>
    <row r="277" spans="1:4" s="3" customFormat="1" ht="33.950000000000003" customHeight="1" x14ac:dyDescent="0.3">
      <c r="A277" s="38" t="s">
        <v>153</v>
      </c>
      <c r="B277" s="61" t="s">
        <v>8</v>
      </c>
      <c r="C277" s="62"/>
      <c r="D277" s="25">
        <f>478600</f>
        <v>478600</v>
      </c>
    </row>
    <row r="278" spans="1:4" s="3" customFormat="1" ht="33.950000000000003" customHeight="1" x14ac:dyDescent="0.3">
      <c r="A278" s="38" t="s">
        <v>154</v>
      </c>
      <c r="B278" s="61" t="s">
        <v>66</v>
      </c>
      <c r="C278" s="62"/>
      <c r="D278" s="25">
        <f>356460</f>
        <v>356460</v>
      </c>
    </row>
    <row r="279" spans="1:4" s="3" customFormat="1" ht="33.950000000000003" customHeight="1" x14ac:dyDescent="0.3">
      <c r="A279" s="38" t="s">
        <v>155</v>
      </c>
      <c r="B279" s="61" t="s">
        <v>67</v>
      </c>
      <c r="C279" s="62"/>
      <c r="D279" s="25">
        <f>1583160</f>
        <v>1583160</v>
      </c>
    </row>
    <row r="280" spans="1:4" s="3" customFormat="1" ht="33.950000000000003" customHeight="1" x14ac:dyDescent="0.3">
      <c r="A280" s="38" t="s">
        <v>156</v>
      </c>
      <c r="B280" s="61" t="s">
        <v>157</v>
      </c>
      <c r="C280" s="62"/>
      <c r="D280" s="25">
        <f>349080</f>
        <v>349080</v>
      </c>
    </row>
    <row r="281" spans="1:4" s="3" customFormat="1" ht="33.950000000000003" customHeight="1" x14ac:dyDescent="0.3">
      <c r="A281" s="38" t="s">
        <v>158</v>
      </c>
      <c r="B281" s="61" t="s">
        <v>49</v>
      </c>
      <c r="C281" s="62"/>
      <c r="D281" s="25">
        <f>139500</f>
        <v>139500</v>
      </c>
    </row>
    <row r="282" spans="1:4" s="3" customFormat="1" ht="33.950000000000003" customHeight="1" x14ac:dyDescent="0.3">
      <c r="A282" s="38" t="s">
        <v>159</v>
      </c>
      <c r="B282" s="61" t="s">
        <v>50</v>
      </c>
      <c r="C282" s="62"/>
      <c r="D282" s="25">
        <f>60780</f>
        <v>60780</v>
      </c>
    </row>
    <row r="283" spans="1:4" s="3" customFormat="1" ht="33.950000000000003" customHeight="1" x14ac:dyDescent="0.3">
      <c r="A283" s="38" t="s">
        <v>160</v>
      </c>
      <c r="B283" s="61" t="s">
        <v>74</v>
      </c>
      <c r="C283" s="62"/>
      <c r="D283" s="25">
        <f>99660</f>
        <v>99660</v>
      </c>
    </row>
    <row r="284" spans="1:4" s="3" customFormat="1" ht="33.950000000000003" customHeight="1" x14ac:dyDescent="0.3">
      <c r="A284" s="38" t="s">
        <v>161</v>
      </c>
      <c r="B284" s="61" t="s">
        <v>20</v>
      </c>
      <c r="C284" s="62"/>
      <c r="D284" s="25">
        <f>784080</f>
        <v>784080</v>
      </c>
    </row>
    <row r="285" spans="1:4" s="3" customFormat="1" ht="33.950000000000003" customHeight="1" x14ac:dyDescent="0.3">
      <c r="A285" s="38" t="s">
        <v>162</v>
      </c>
      <c r="B285" s="61" t="s">
        <v>70</v>
      </c>
      <c r="C285" s="62"/>
      <c r="D285" s="25">
        <f>360000</f>
        <v>360000</v>
      </c>
    </row>
    <row r="286" spans="1:4" s="3" customFormat="1" ht="33.950000000000003" customHeight="1" x14ac:dyDescent="0.3">
      <c r="A286" s="18" t="s">
        <v>163</v>
      </c>
      <c r="B286" s="59" t="s">
        <v>164</v>
      </c>
      <c r="C286" s="60"/>
      <c r="D286" s="25">
        <f>236160</f>
        <v>236160</v>
      </c>
    </row>
    <row r="287" spans="1:4" s="3" customFormat="1" ht="33.75" customHeight="1" x14ac:dyDescent="0.3">
      <c r="A287" s="18" t="s">
        <v>165</v>
      </c>
      <c r="B287" s="59" t="s">
        <v>9</v>
      </c>
      <c r="C287" s="60"/>
      <c r="D287" s="25">
        <f>297780</f>
        <v>297780</v>
      </c>
    </row>
    <row r="288" spans="1:4" s="3" customFormat="1" ht="33.75" customHeight="1" x14ac:dyDescent="0.3">
      <c r="A288" s="18" t="s">
        <v>166</v>
      </c>
      <c r="B288" s="59" t="s">
        <v>78</v>
      </c>
      <c r="C288" s="60"/>
      <c r="D288" s="25">
        <f>180000</f>
        <v>180000</v>
      </c>
    </row>
    <row r="289" spans="1:4" s="3" customFormat="1" ht="33.950000000000003" customHeight="1" x14ac:dyDescent="0.3">
      <c r="A289" s="18" t="s">
        <v>255</v>
      </c>
      <c r="B289" s="59" t="s">
        <v>61</v>
      </c>
      <c r="C289" s="60"/>
      <c r="D289" s="25">
        <f>300000</f>
        <v>300000</v>
      </c>
    </row>
    <row r="290" spans="1:4" s="3" customFormat="1" ht="33.950000000000003" customHeight="1" x14ac:dyDescent="0.3">
      <c r="A290" s="18" t="s">
        <v>167</v>
      </c>
      <c r="B290" s="59" t="s">
        <v>100</v>
      </c>
      <c r="C290" s="60"/>
      <c r="D290" s="25">
        <f>1065600</f>
        <v>1065600</v>
      </c>
    </row>
    <row r="291" spans="1:4" s="3" customFormat="1" ht="33.950000000000003" customHeight="1" x14ac:dyDescent="0.3">
      <c r="A291" s="18" t="s">
        <v>168</v>
      </c>
      <c r="B291" s="59" t="s">
        <v>99</v>
      </c>
      <c r="C291" s="60"/>
      <c r="D291" s="25">
        <f>601380</f>
        <v>601380</v>
      </c>
    </row>
    <row r="292" spans="1:4" s="3" customFormat="1" ht="33.950000000000003" customHeight="1" x14ac:dyDescent="0.3">
      <c r="A292" s="18" t="s">
        <v>169</v>
      </c>
      <c r="B292" s="59" t="s">
        <v>41</v>
      </c>
      <c r="C292" s="60"/>
      <c r="D292" s="25">
        <f>60000+90000</f>
        <v>150000</v>
      </c>
    </row>
    <row r="293" spans="1:4" s="3" customFormat="1" ht="33.950000000000003" customHeight="1" x14ac:dyDescent="0.3">
      <c r="A293" s="18" t="s">
        <v>170</v>
      </c>
      <c r="B293" s="59" t="s">
        <v>42</v>
      </c>
      <c r="C293" s="60"/>
      <c r="D293" s="25">
        <f>149640</f>
        <v>149640</v>
      </c>
    </row>
    <row r="294" spans="1:4" s="3" customFormat="1" ht="33.950000000000003" customHeight="1" x14ac:dyDescent="0.3">
      <c r="A294" s="18" t="s">
        <v>171</v>
      </c>
      <c r="B294" s="59" t="s">
        <v>59</v>
      </c>
      <c r="C294" s="60"/>
      <c r="D294" s="25">
        <f>1800000</f>
        <v>1800000</v>
      </c>
    </row>
    <row r="295" spans="1:4" s="3" customFormat="1" ht="33.950000000000003" customHeight="1" x14ac:dyDescent="0.3">
      <c r="A295" s="18" t="s">
        <v>172</v>
      </c>
      <c r="B295" s="59" t="s">
        <v>79</v>
      </c>
      <c r="C295" s="60"/>
      <c r="D295" s="25">
        <f>4269420</f>
        <v>4269420</v>
      </c>
    </row>
    <row r="296" spans="1:4" s="3" customFormat="1" ht="33.75" customHeight="1" x14ac:dyDescent="0.3">
      <c r="A296" s="18" t="s">
        <v>173</v>
      </c>
      <c r="B296" s="59" t="s">
        <v>23</v>
      </c>
      <c r="C296" s="60"/>
      <c r="D296" s="25">
        <f>150360</f>
        <v>150360</v>
      </c>
    </row>
    <row r="297" spans="1:4" s="3" customFormat="1" ht="33.75" customHeight="1" x14ac:dyDescent="0.3">
      <c r="A297" s="18" t="s">
        <v>174</v>
      </c>
      <c r="B297" s="59" t="s">
        <v>43</v>
      </c>
      <c r="C297" s="60"/>
      <c r="D297" s="25">
        <f>90540</f>
        <v>90540</v>
      </c>
    </row>
    <row r="298" spans="1:4" s="3" customFormat="1" ht="33.950000000000003" customHeight="1" x14ac:dyDescent="0.3">
      <c r="A298" s="18" t="s">
        <v>175</v>
      </c>
      <c r="B298" s="59" t="s">
        <v>10</v>
      </c>
      <c r="C298" s="60"/>
      <c r="D298" s="25">
        <f>255300</f>
        <v>255300</v>
      </c>
    </row>
    <row r="299" spans="1:4" s="3" customFormat="1" ht="33.950000000000003" customHeight="1" x14ac:dyDescent="0.3">
      <c r="A299" s="18" t="s">
        <v>178</v>
      </c>
      <c r="B299" s="59" t="s">
        <v>75</v>
      </c>
      <c r="C299" s="60"/>
      <c r="D299" s="25">
        <f>538000</f>
        <v>538000</v>
      </c>
    </row>
    <row r="300" spans="1:4" s="3" customFormat="1" ht="33.950000000000003" customHeight="1" x14ac:dyDescent="0.3">
      <c r="A300" s="18" t="s">
        <v>179</v>
      </c>
      <c r="B300" s="59" t="s">
        <v>77</v>
      </c>
      <c r="C300" s="60"/>
      <c r="D300" s="25">
        <f>2404980</f>
        <v>2404980</v>
      </c>
    </row>
    <row r="301" spans="1:4" s="3" customFormat="1" ht="33.75" customHeight="1" x14ac:dyDescent="0.3">
      <c r="A301" s="18" t="s">
        <v>176</v>
      </c>
      <c r="B301" s="59" t="s">
        <v>64</v>
      </c>
      <c r="C301" s="60"/>
      <c r="D301" s="25">
        <f>1391340</f>
        <v>1391340</v>
      </c>
    </row>
    <row r="302" spans="1:4" s="3" customFormat="1" ht="33.950000000000003" customHeight="1" x14ac:dyDescent="0.3">
      <c r="A302" s="18" t="s">
        <v>177</v>
      </c>
      <c r="B302" s="59" t="s">
        <v>26</v>
      </c>
      <c r="C302" s="60"/>
      <c r="D302" s="25">
        <f>660000+610380</f>
        <v>1270380</v>
      </c>
    </row>
    <row r="303" spans="1:4" s="3" customFormat="1" ht="33.950000000000003" customHeight="1" x14ac:dyDescent="0.3">
      <c r="A303" s="18" t="s">
        <v>180</v>
      </c>
      <c r="B303" s="59" t="s">
        <v>12</v>
      </c>
      <c r="C303" s="60"/>
      <c r="D303" s="25">
        <f>1970160</f>
        <v>1970160</v>
      </c>
    </row>
    <row r="304" spans="1:4" s="3" customFormat="1" ht="33.950000000000003" customHeight="1" x14ac:dyDescent="0.3">
      <c r="A304" s="18" t="s">
        <v>181</v>
      </c>
      <c r="B304" s="59" t="s">
        <v>76</v>
      </c>
      <c r="C304" s="60"/>
      <c r="D304" s="25">
        <f>278800</f>
        <v>278800</v>
      </c>
    </row>
    <row r="305" spans="1:4" s="3" customFormat="1" ht="33.75" customHeight="1" x14ac:dyDescent="0.3">
      <c r="A305" s="18" t="s">
        <v>182</v>
      </c>
      <c r="B305" s="59" t="s">
        <v>28</v>
      </c>
      <c r="C305" s="60"/>
      <c r="D305" s="25">
        <f>172920</f>
        <v>172920</v>
      </c>
    </row>
    <row r="306" spans="1:4" s="3" customFormat="1" ht="33.950000000000003" customHeight="1" x14ac:dyDescent="0.3">
      <c r="A306" s="18" t="s">
        <v>238</v>
      </c>
      <c r="B306" s="59" t="s">
        <v>65</v>
      </c>
      <c r="C306" s="60"/>
      <c r="D306" s="25">
        <f>505700</f>
        <v>505700</v>
      </c>
    </row>
    <row r="307" spans="1:4" s="3" customFormat="1" ht="33.950000000000003" customHeight="1" x14ac:dyDescent="0.3">
      <c r="A307" s="18" t="s">
        <v>183</v>
      </c>
      <c r="B307" s="59" t="s">
        <v>52</v>
      </c>
      <c r="C307" s="60"/>
      <c r="D307" s="25">
        <f>321660</f>
        <v>321660</v>
      </c>
    </row>
    <row r="308" spans="1:4" s="3" customFormat="1" ht="33.950000000000003" customHeight="1" x14ac:dyDescent="0.3">
      <c r="A308" s="18" t="s">
        <v>184</v>
      </c>
      <c r="B308" s="59" t="s">
        <v>72</v>
      </c>
      <c r="C308" s="60"/>
      <c r="D308" s="25">
        <f>164400</f>
        <v>164400</v>
      </c>
    </row>
    <row r="309" spans="1:4" s="3" customFormat="1" ht="33.950000000000003" customHeight="1" x14ac:dyDescent="0.3">
      <c r="A309" s="18" t="s">
        <v>185</v>
      </c>
      <c r="B309" s="59" t="s">
        <v>37</v>
      </c>
      <c r="C309" s="60"/>
      <c r="D309" s="25">
        <f>265320</f>
        <v>265320</v>
      </c>
    </row>
    <row r="310" spans="1:4" s="3" customFormat="1" ht="33.950000000000003" customHeight="1" x14ac:dyDescent="0.3">
      <c r="A310" s="18" t="s">
        <v>210</v>
      </c>
      <c r="B310" s="59" t="s">
        <v>209</v>
      </c>
      <c r="C310" s="60"/>
      <c r="D310" s="25">
        <f>650460</f>
        <v>650460</v>
      </c>
    </row>
    <row r="311" spans="1:4" s="3" customFormat="1" ht="33.950000000000003" customHeight="1" x14ac:dyDescent="0.3">
      <c r="A311" s="18" t="s">
        <v>186</v>
      </c>
      <c r="B311" s="59" t="s">
        <v>45</v>
      </c>
      <c r="C311" s="60"/>
      <c r="D311" s="25">
        <f>3739560</f>
        <v>3739560</v>
      </c>
    </row>
    <row r="312" spans="1:4" s="3" customFormat="1" ht="33.950000000000003" customHeight="1" x14ac:dyDescent="0.3">
      <c r="A312" s="18" t="s">
        <v>187</v>
      </c>
      <c r="B312" s="59" t="s">
        <v>124</v>
      </c>
      <c r="C312" s="60"/>
      <c r="D312" s="25">
        <f>114840</f>
        <v>114840</v>
      </c>
    </row>
    <row r="313" spans="1:4" s="3" customFormat="1" ht="33.950000000000003" customHeight="1" x14ac:dyDescent="0.3">
      <c r="A313" s="18" t="s">
        <v>188</v>
      </c>
      <c r="B313" s="59" t="s">
        <v>44</v>
      </c>
      <c r="C313" s="60"/>
      <c r="D313" s="25">
        <f>180000</f>
        <v>180000</v>
      </c>
    </row>
    <row r="314" spans="1:4" s="3" customFormat="1" ht="33.950000000000003" customHeight="1" x14ac:dyDescent="0.3">
      <c r="A314" s="18" t="s">
        <v>189</v>
      </c>
      <c r="B314" s="59" t="s">
        <v>53</v>
      </c>
      <c r="C314" s="60"/>
      <c r="D314" s="25">
        <f>180000+416100</f>
        <v>596100</v>
      </c>
    </row>
    <row r="315" spans="1:4" s="3" customFormat="1" ht="33.950000000000003" customHeight="1" x14ac:dyDescent="0.3">
      <c r="A315" s="18" t="s">
        <v>190</v>
      </c>
      <c r="B315" s="59" t="s">
        <v>191</v>
      </c>
      <c r="C315" s="60"/>
      <c r="D315" s="25">
        <f>497220</f>
        <v>497220</v>
      </c>
    </row>
    <row r="316" spans="1:4" s="3" customFormat="1" ht="33.75" customHeight="1" x14ac:dyDescent="0.3">
      <c r="A316" s="18" t="s">
        <v>192</v>
      </c>
      <c r="B316" s="59" t="s">
        <v>54</v>
      </c>
      <c r="C316" s="60"/>
      <c r="D316" s="25">
        <f>583380</f>
        <v>583380</v>
      </c>
    </row>
    <row r="317" spans="1:4" s="3" customFormat="1" ht="33.950000000000003" customHeight="1" x14ac:dyDescent="0.3">
      <c r="A317" s="18" t="s">
        <v>193</v>
      </c>
      <c r="B317" s="59" t="s">
        <v>63</v>
      </c>
      <c r="C317" s="60"/>
      <c r="D317" s="25">
        <f>757920</f>
        <v>757920</v>
      </c>
    </row>
    <row r="318" spans="1:4" s="3" customFormat="1" ht="33.950000000000003" customHeight="1" x14ac:dyDescent="0.3">
      <c r="A318" s="18" t="s">
        <v>194</v>
      </c>
      <c r="B318" s="59" t="s">
        <v>71</v>
      </c>
      <c r="C318" s="60"/>
      <c r="D318" s="25">
        <f>480600</f>
        <v>480600</v>
      </c>
    </row>
    <row r="319" spans="1:4" s="3" customFormat="1" ht="33.950000000000003" customHeight="1" x14ac:dyDescent="0.3">
      <c r="A319" s="18" t="s">
        <v>195</v>
      </c>
      <c r="B319" s="59" t="s">
        <v>55</v>
      </c>
      <c r="C319" s="60"/>
      <c r="D319" s="25">
        <f>495360</f>
        <v>495360</v>
      </c>
    </row>
    <row r="320" spans="1:4" s="3" customFormat="1" ht="33.950000000000003" customHeight="1" x14ac:dyDescent="0.3">
      <c r="A320" s="18" t="s">
        <v>239</v>
      </c>
      <c r="B320" s="59" t="s">
        <v>13</v>
      </c>
      <c r="C320" s="60"/>
      <c r="D320" s="25">
        <f>1800000</f>
        <v>1800000</v>
      </c>
    </row>
    <row r="321" spans="1:4" s="3" customFormat="1" ht="33.950000000000003" customHeight="1" x14ac:dyDescent="0.3">
      <c r="A321" s="18" t="s">
        <v>196</v>
      </c>
      <c r="B321" s="59" t="s">
        <v>11</v>
      </c>
      <c r="C321" s="60"/>
      <c r="D321" s="25">
        <f>234360</f>
        <v>234360</v>
      </c>
    </row>
    <row r="322" spans="1:4" s="3" customFormat="1" ht="33.950000000000003" customHeight="1" x14ac:dyDescent="0.3">
      <c r="A322" s="18" t="s">
        <v>197</v>
      </c>
      <c r="B322" s="59" t="s">
        <v>198</v>
      </c>
      <c r="C322" s="60"/>
      <c r="D322" s="25">
        <f>196020</f>
        <v>196020</v>
      </c>
    </row>
    <row r="323" spans="1:4" s="3" customFormat="1" ht="33.75" customHeight="1" x14ac:dyDescent="0.3">
      <c r="A323" s="18" t="s">
        <v>248</v>
      </c>
      <c r="B323" s="59" t="s">
        <v>68</v>
      </c>
      <c r="C323" s="60"/>
      <c r="D323" s="25">
        <f>120000</f>
        <v>120000</v>
      </c>
    </row>
    <row r="324" spans="1:4" s="3" customFormat="1" ht="33.950000000000003" customHeight="1" x14ac:dyDescent="0.3">
      <c r="A324" s="18" t="s">
        <v>199</v>
      </c>
      <c r="B324" s="59" t="s">
        <v>69</v>
      </c>
      <c r="C324" s="60"/>
      <c r="D324" s="25">
        <f>130920</f>
        <v>130920</v>
      </c>
    </row>
    <row r="325" spans="1:4" s="3" customFormat="1" ht="37.5" customHeight="1" x14ac:dyDescent="0.3">
      <c r="A325" s="63" t="s">
        <v>80</v>
      </c>
      <c r="B325" s="64"/>
      <c r="C325" s="65"/>
      <c r="D325" s="26">
        <f>SUM(D262:D324)</f>
        <v>51388600</v>
      </c>
    </row>
    <row r="326" spans="1:4" s="3" customFormat="1" ht="51.75" customHeight="1" x14ac:dyDescent="0.3">
      <c r="A326" s="18"/>
      <c r="B326" s="66" t="s">
        <v>271</v>
      </c>
      <c r="C326" s="66"/>
      <c r="D326" s="26">
        <f>D327</f>
        <v>380000</v>
      </c>
    </row>
    <row r="327" spans="1:4" s="3" customFormat="1" ht="33.75" customHeight="1" x14ac:dyDescent="0.3">
      <c r="A327" s="18" t="s">
        <v>171</v>
      </c>
      <c r="B327" s="59" t="s">
        <v>59</v>
      </c>
      <c r="C327" s="60"/>
      <c r="D327" s="25">
        <f>282916+97084</f>
        <v>380000</v>
      </c>
    </row>
    <row r="328" spans="1:4" s="3" customFormat="1" ht="51.75" customHeight="1" x14ac:dyDescent="0.3">
      <c r="A328" s="18"/>
      <c r="B328" s="66" t="s">
        <v>252</v>
      </c>
      <c r="C328" s="66"/>
      <c r="D328" s="26">
        <f>D329</f>
        <v>60000</v>
      </c>
    </row>
    <row r="329" spans="1:4" s="3" customFormat="1" ht="33.75" customHeight="1" x14ac:dyDescent="0.3">
      <c r="A329" s="18" t="s">
        <v>195</v>
      </c>
      <c r="B329" s="59" t="s">
        <v>55</v>
      </c>
      <c r="C329" s="60"/>
      <c r="D329" s="25">
        <f>60000</f>
        <v>60000</v>
      </c>
    </row>
    <row r="330" spans="1:4" s="3" customFormat="1" ht="33.75" customHeight="1" x14ac:dyDescent="0.3">
      <c r="A330" s="18"/>
      <c r="B330" s="66" t="s">
        <v>263</v>
      </c>
      <c r="C330" s="66"/>
      <c r="D330" s="24">
        <f>D332+D334</f>
        <v>4556875</v>
      </c>
    </row>
    <row r="331" spans="1:4" s="3" customFormat="1" ht="33.75" customHeight="1" x14ac:dyDescent="0.3">
      <c r="A331" s="38" t="s">
        <v>132</v>
      </c>
      <c r="B331" s="59" t="s">
        <v>18</v>
      </c>
      <c r="C331" s="60"/>
      <c r="D331" s="25">
        <f>1500000</f>
        <v>1500000</v>
      </c>
    </row>
    <row r="332" spans="1:4" s="3" customFormat="1" ht="33.75" customHeight="1" x14ac:dyDescent="0.3">
      <c r="A332" s="63" t="s">
        <v>97</v>
      </c>
      <c r="B332" s="64"/>
      <c r="C332" s="65"/>
      <c r="D332" s="24">
        <f>D331</f>
        <v>1500000</v>
      </c>
    </row>
    <row r="333" spans="1:4" s="3" customFormat="1" ht="33.75" customHeight="1" x14ac:dyDescent="0.3">
      <c r="A333" s="18" t="s">
        <v>189</v>
      </c>
      <c r="B333" s="59" t="s">
        <v>53</v>
      </c>
      <c r="C333" s="60"/>
      <c r="D333" s="25">
        <f>3056875</f>
        <v>3056875</v>
      </c>
    </row>
    <row r="334" spans="1:4" s="3" customFormat="1" ht="33.75" customHeight="1" x14ac:dyDescent="0.3">
      <c r="A334" s="63" t="s">
        <v>80</v>
      </c>
      <c r="B334" s="64"/>
      <c r="C334" s="65"/>
      <c r="D334" s="24">
        <f>D333</f>
        <v>3056875</v>
      </c>
    </row>
    <row r="335" spans="1:4" s="3" customFormat="1" ht="33.75" customHeight="1" x14ac:dyDescent="0.3">
      <c r="A335" s="18"/>
      <c r="B335" s="66" t="s">
        <v>289</v>
      </c>
      <c r="C335" s="66"/>
      <c r="D335" s="24">
        <f>D361</f>
        <v>13735000</v>
      </c>
    </row>
    <row r="336" spans="1:4" s="3" customFormat="1" ht="33.75" customHeight="1" x14ac:dyDescent="0.3">
      <c r="A336" s="18" t="s">
        <v>139</v>
      </c>
      <c r="B336" s="61" t="s">
        <v>34</v>
      </c>
      <c r="C336" s="62"/>
      <c r="D336" s="25">
        <f>670000</f>
        <v>670000</v>
      </c>
    </row>
    <row r="337" spans="1:4" s="3" customFormat="1" ht="33.75" customHeight="1" x14ac:dyDescent="0.3">
      <c r="A337" s="18" t="s">
        <v>140</v>
      </c>
      <c r="B337" s="61" t="s">
        <v>35</v>
      </c>
      <c r="C337" s="62"/>
      <c r="D337" s="25">
        <f>335000</f>
        <v>335000</v>
      </c>
    </row>
    <row r="338" spans="1:4" s="3" customFormat="1" ht="33.75" customHeight="1" x14ac:dyDescent="0.3">
      <c r="A338" s="18" t="s">
        <v>141</v>
      </c>
      <c r="B338" s="61" t="s">
        <v>14</v>
      </c>
      <c r="C338" s="62"/>
      <c r="D338" s="25">
        <f>335000</f>
        <v>335000</v>
      </c>
    </row>
    <row r="339" spans="1:4" s="3" customFormat="1" ht="33.75" customHeight="1" x14ac:dyDescent="0.3">
      <c r="A339" s="18" t="s">
        <v>143</v>
      </c>
      <c r="B339" s="61" t="s">
        <v>47</v>
      </c>
      <c r="C339" s="62"/>
      <c r="D339" s="25">
        <f>335000</f>
        <v>335000</v>
      </c>
    </row>
    <row r="340" spans="1:4" s="3" customFormat="1" ht="33.75" customHeight="1" x14ac:dyDescent="0.3">
      <c r="A340" s="38" t="s">
        <v>144</v>
      </c>
      <c r="B340" s="61" t="s">
        <v>36</v>
      </c>
      <c r="C340" s="62"/>
      <c r="D340" s="25">
        <f>670000</f>
        <v>670000</v>
      </c>
    </row>
    <row r="341" spans="1:4" s="3" customFormat="1" ht="33.75" customHeight="1" x14ac:dyDescent="0.3">
      <c r="A341" s="38" t="s">
        <v>119</v>
      </c>
      <c r="B341" s="61" t="s">
        <v>60</v>
      </c>
      <c r="C341" s="62"/>
      <c r="D341" s="25">
        <f>335000</f>
        <v>335000</v>
      </c>
    </row>
    <row r="342" spans="1:4" s="3" customFormat="1" ht="33.75" customHeight="1" x14ac:dyDescent="0.3">
      <c r="A342" s="38" t="s">
        <v>208</v>
      </c>
      <c r="B342" s="61" t="s">
        <v>16</v>
      </c>
      <c r="C342" s="62"/>
      <c r="D342" s="25">
        <f>670000</f>
        <v>670000</v>
      </c>
    </row>
    <row r="343" spans="1:4" s="3" customFormat="1" ht="33.75" customHeight="1" x14ac:dyDescent="0.3">
      <c r="A343" s="38" t="s">
        <v>149</v>
      </c>
      <c r="B343" s="61" t="s">
        <v>73</v>
      </c>
      <c r="C343" s="62"/>
      <c r="D343" s="25">
        <f>335000</f>
        <v>335000</v>
      </c>
    </row>
    <row r="344" spans="1:4" s="3" customFormat="1" ht="33.75" customHeight="1" x14ac:dyDescent="0.3">
      <c r="A344" s="38" t="s">
        <v>158</v>
      </c>
      <c r="B344" s="61" t="s">
        <v>49</v>
      </c>
      <c r="C344" s="62"/>
      <c r="D344" s="25">
        <f>670000</f>
        <v>670000</v>
      </c>
    </row>
    <row r="345" spans="1:4" s="3" customFormat="1" ht="33.75" customHeight="1" x14ac:dyDescent="0.3">
      <c r="A345" s="38" t="s">
        <v>159</v>
      </c>
      <c r="B345" s="61" t="s">
        <v>50</v>
      </c>
      <c r="C345" s="62"/>
      <c r="D345" s="25">
        <f>335000</f>
        <v>335000</v>
      </c>
    </row>
    <row r="346" spans="1:4" s="3" customFormat="1" ht="33.75" customHeight="1" x14ac:dyDescent="0.3">
      <c r="A346" s="38" t="s">
        <v>161</v>
      </c>
      <c r="B346" s="61" t="s">
        <v>292</v>
      </c>
      <c r="C346" s="62"/>
      <c r="D346" s="25">
        <v>670000</v>
      </c>
    </row>
    <row r="347" spans="1:4" s="3" customFormat="1" ht="33.75" customHeight="1" x14ac:dyDescent="0.3">
      <c r="A347" s="18" t="s">
        <v>165</v>
      </c>
      <c r="B347" s="59" t="s">
        <v>9</v>
      </c>
      <c r="C347" s="60"/>
      <c r="D347" s="25">
        <f>670000</f>
        <v>670000</v>
      </c>
    </row>
    <row r="348" spans="1:4" s="3" customFormat="1" ht="33.75" customHeight="1" x14ac:dyDescent="0.3">
      <c r="A348" s="18" t="s">
        <v>167</v>
      </c>
      <c r="B348" s="59" t="s">
        <v>100</v>
      </c>
      <c r="C348" s="60"/>
      <c r="D348" s="25">
        <f>335000+335000</f>
        <v>670000</v>
      </c>
    </row>
    <row r="349" spans="1:4" s="3" customFormat="1" ht="33.75" customHeight="1" x14ac:dyDescent="0.3">
      <c r="A349" s="18" t="s">
        <v>168</v>
      </c>
      <c r="B349" s="59" t="s">
        <v>99</v>
      </c>
      <c r="C349" s="60"/>
      <c r="D349" s="25">
        <f>335000</f>
        <v>335000</v>
      </c>
    </row>
    <row r="350" spans="1:4" s="3" customFormat="1" ht="33.75" customHeight="1" x14ac:dyDescent="0.3">
      <c r="A350" s="18" t="s">
        <v>169</v>
      </c>
      <c r="B350" s="59" t="s">
        <v>293</v>
      </c>
      <c r="C350" s="60"/>
      <c r="D350" s="25">
        <v>335000</v>
      </c>
    </row>
    <row r="351" spans="1:4" s="3" customFormat="1" ht="33.75" customHeight="1" x14ac:dyDescent="0.3">
      <c r="A351" s="18" t="s">
        <v>172</v>
      </c>
      <c r="B351" s="59" t="s">
        <v>79</v>
      </c>
      <c r="C351" s="60"/>
      <c r="D351" s="25">
        <f>335000</f>
        <v>335000</v>
      </c>
    </row>
    <row r="352" spans="1:4" s="3" customFormat="1" ht="33.75" customHeight="1" x14ac:dyDescent="0.3">
      <c r="A352" s="18" t="s">
        <v>176</v>
      </c>
      <c r="B352" s="59" t="s">
        <v>64</v>
      </c>
      <c r="C352" s="60"/>
      <c r="D352" s="25">
        <f>1340000</f>
        <v>1340000</v>
      </c>
    </row>
    <row r="353" spans="1:5" s="3" customFormat="1" ht="33.75" customHeight="1" x14ac:dyDescent="0.3">
      <c r="A353" s="18" t="s">
        <v>178</v>
      </c>
      <c r="B353" s="59" t="s">
        <v>294</v>
      </c>
      <c r="C353" s="60"/>
      <c r="D353" s="25">
        <v>335000</v>
      </c>
    </row>
    <row r="354" spans="1:5" s="3" customFormat="1" ht="33.75" customHeight="1" x14ac:dyDescent="0.3">
      <c r="A354" s="18" t="s">
        <v>182</v>
      </c>
      <c r="B354" s="59" t="s">
        <v>28</v>
      </c>
      <c r="C354" s="60"/>
      <c r="D354" s="25">
        <f>670000</f>
        <v>670000</v>
      </c>
    </row>
    <row r="355" spans="1:5" s="3" customFormat="1" ht="33.75" customHeight="1" x14ac:dyDescent="0.3">
      <c r="A355" s="18" t="s">
        <v>184</v>
      </c>
      <c r="B355" s="59" t="s">
        <v>72</v>
      </c>
      <c r="C355" s="60"/>
      <c r="D355" s="25">
        <f>335000</f>
        <v>335000</v>
      </c>
    </row>
    <row r="356" spans="1:5" s="3" customFormat="1" ht="33.75" customHeight="1" x14ac:dyDescent="0.3">
      <c r="A356" s="18" t="s">
        <v>188</v>
      </c>
      <c r="B356" s="59" t="s">
        <v>44</v>
      </c>
      <c r="C356" s="60"/>
      <c r="D356" s="25">
        <f>670000</f>
        <v>670000</v>
      </c>
    </row>
    <row r="357" spans="1:5" s="3" customFormat="1" ht="33.75" customHeight="1" x14ac:dyDescent="0.3">
      <c r="A357" s="18" t="s">
        <v>189</v>
      </c>
      <c r="B357" s="59" t="s">
        <v>53</v>
      </c>
      <c r="C357" s="60"/>
      <c r="D357" s="25">
        <f>670000</f>
        <v>670000</v>
      </c>
    </row>
    <row r="358" spans="1:5" s="3" customFormat="1" ht="33.75" customHeight="1" x14ac:dyDescent="0.3">
      <c r="A358" s="18" t="s">
        <v>193</v>
      </c>
      <c r="B358" s="59" t="s">
        <v>63</v>
      </c>
      <c r="C358" s="60"/>
      <c r="D358" s="25">
        <f>670000</f>
        <v>670000</v>
      </c>
    </row>
    <row r="359" spans="1:5" s="3" customFormat="1" ht="33.75" customHeight="1" x14ac:dyDescent="0.3">
      <c r="A359" s="18" t="s">
        <v>195</v>
      </c>
      <c r="B359" s="59" t="s">
        <v>55</v>
      </c>
      <c r="C359" s="60"/>
      <c r="D359" s="25">
        <f>670000</f>
        <v>670000</v>
      </c>
    </row>
    <row r="360" spans="1:5" s="3" customFormat="1" ht="33.75" customHeight="1" x14ac:dyDescent="0.3">
      <c r="A360" s="18" t="s">
        <v>199</v>
      </c>
      <c r="B360" s="59" t="s">
        <v>69</v>
      </c>
      <c r="C360" s="60"/>
      <c r="D360" s="25">
        <f>670000</f>
        <v>670000</v>
      </c>
    </row>
    <row r="361" spans="1:5" s="3" customFormat="1" ht="33.75" customHeight="1" x14ac:dyDescent="0.3">
      <c r="A361" s="63" t="s">
        <v>80</v>
      </c>
      <c r="B361" s="64"/>
      <c r="C361" s="65"/>
      <c r="D361" s="24">
        <f>SUM(D336:D360)</f>
        <v>13735000</v>
      </c>
    </row>
    <row r="362" spans="1:5" s="4" customFormat="1" ht="30" customHeight="1" x14ac:dyDescent="0.3">
      <c r="A362" s="17"/>
      <c r="B362" s="70" t="s">
        <v>91</v>
      </c>
      <c r="C362" s="71"/>
      <c r="D362" s="24">
        <f>D363+D364</f>
        <v>2940177797</v>
      </c>
      <c r="E362" s="6"/>
    </row>
    <row r="363" spans="1:5" s="4" customFormat="1" ht="30" customHeight="1" x14ac:dyDescent="0.3">
      <c r="A363" s="17"/>
      <c r="B363" s="66" t="s">
        <v>82</v>
      </c>
      <c r="C363" s="66"/>
      <c r="D363" s="24">
        <f>D15+D27+D31+D33+D43+D17+D25+D35+D29+D23+D21+D39+D41+D37+D19</f>
        <v>2704147988</v>
      </c>
      <c r="E363" s="5"/>
    </row>
    <row r="364" spans="1:5" s="4" customFormat="1" ht="30" customHeight="1" x14ac:dyDescent="0.3">
      <c r="A364" s="17"/>
      <c r="B364" s="66" t="s">
        <v>83</v>
      </c>
      <c r="C364" s="66"/>
      <c r="D364" s="24">
        <f>D247+D249+D245</f>
        <v>236029809</v>
      </c>
      <c r="E364" s="5"/>
    </row>
    <row r="365" spans="1:5" ht="23.25" x14ac:dyDescent="0.35">
      <c r="A365" s="15"/>
      <c r="B365" s="15"/>
      <c r="C365" s="15"/>
      <c r="D365" s="15"/>
    </row>
  </sheetData>
  <sheetProtection selectLockedCells="1" selectUnlockedCells="1"/>
  <customSheetViews>
    <customSheetView guid="{4644111A-82C5-489B-9E53-EB80700E535E}" scale="50" showPageBreaks="1" zeroValues="0" printArea="1" view="pageBreakPreview">
      <pane xSplit="3" ySplit="12" topLeftCell="D32" activePane="bottomRight" state="frozen"/>
      <selection pane="bottomRight" activeCell="D34" sqref="D34"/>
      <rowBreaks count="2" manualBreakCount="2">
        <brk id="247" max="3" man="1"/>
        <brk id="286" max="3" man="1"/>
      </rowBreaks>
      <pageMargins left="0.98425196850393704" right="0.59055118110236227" top="0.59055118110236227" bottom="0.59055118110236227" header="0.39370078740157483" footer="0.39370078740157483"/>
      <printOptions horizontalCentered="1"/>
      <pageSetup paperSize="9" scale="43" firstPageNumber="0" fitToWidth="0" fitToHeight="0" orientation="portrait" horizontalDpi="300" verticalDpi="300" r:id="rId1"/>
      <headerFooter differentFirst="1" scaleWithDoc="0" alignWithMargins="0">
        <oddHeader>&amp;C&amp;P</oddHeader>
      </headerFooter>
    </customSheetView>
    <customSheetView guid="{879B1E14-7CA4-4463-9C42-4E2586107585}" scale="50" showPageBreaks="1" zeroValues="0" printArea="1" view="pageBreakPreview">
      <pane xSplit="3" ySplit="12" topLeftCell="D245" activePane="bottomRight" state="frozen"/>
      <selection pane="bottomRight" activeCell="A253" sqref="A253:D254"/>
      <rowBreaks count="2" manualBreakCount="2">
        <brk id="247" max="3" man="1"/>
        <brk id="286" max="3" man="1"/>
      </rowBreaks>
      <pageMargins left="0.98425196850393704" right="0.59055118110236227" top="0.59055118110236227" bottom="0.59055118110236227" header="0.39370078740157483" footer="0.39370078740157483"/>
      <printOptions horizontalCentered="1"/>
      <pageSetup paperSize="9" scale="43" firstPageNumber="0" fitToWidth="0" fitToHeight="0" orientation="portrait" horizontalDpi="300" verticalDpi="300" r:id="rId2"/>
      <headerFooter differentFirst="1" scaleWithDoc="0" alignWithMargins="0">
        <oddHeader>&amp;C&amp;P</oddHeader>
      </headerFooter>
    </customSheetView>
    <customSheetView guid="{C9A6F9B2-0582-46B8-BF5A-2A8D2AC01FE2}" scale="50" showPageBreaks="1" zeroValues="0" printArea="1" view="pageBreakPreview">
      <pane xSplit="3" ySplit="12" topLeftCell="D22" activePane="bottomRight" state="frozen"/>
      <selection pane="bottomRight" activeCell="D25" sqref="D25"/>
      <rowBreaks count="2" manualBreakCount="2">
        <brk id="247" max="3" man="1"/>
        <brk id="286" max="3" man="1"/>
      </rowBreaks>
      <pageMargins left="0.98425196850393704" right="0.59055118110236227" top="0.59055118110236227" bottom="0.59055118110236227" header="0.39370078740157483" footer="0.39370078740157483"/>
      <printOptions horizontalCentered="1"/>
      <pageSetup paperSize="9" scale="43" firstPageNumber="0" fitToWidth="0" fitToHeight="0" orientation="portrait" horizontalDpi="300" verticalDpi="300" r:id="rId3"/>
      <headerFooter differentFirst="1" scaleWithDoc="0" alignWithMargins="0">
        <oddHeader>&amp;C&amp;P</oddHeader>
      </headerFooter>
    </customSheetView>
  </customSheetViews>
  <mergeCells count="362">
    <mergeCell ref="B24:C24"/>
    <mergeCell ref="B310:C310"/>
    <mergeCell ref="B313:C313"/>
    <mergeCell ref="B287:C287"/>
    <mergeCell ref="B286:C286"/>
    <mergeCell ref="B249:C249"/>
    <mergeCell ref="B250:C250"/>
    <mergeCell ref="B297:C297"/>
    <mergeCell ref="B288:C288"/>
    <mergeCell ref="B299:C299"/>
    <mergeCell ref="B305:C305"/>
    <mergeCell ref="B291:C291"/>
    <mergeCell ref="B306:C306"/>
    <mergeCell ref="B285:C285"/>
    <mergeCell ref="B284:C284"/>
    <mergeCell ref="B277:C277"/>
    <mergeCell ref="B278:C278"/>
    <mergeCell ref="B280:C280"/>
    <mergeCell ref="B279:C279"/>
    <mergeCell ref="B290:C290"/>
    <mergeCell ref="B289:C289"/>
    <mergeCell ref="B204:C204"/>
    <mergeCell ref="B208:C208"/>
    <mergeCell ref="B165:C165"/>
    <mergeCell ref="B346:C346"/>
    <mergeCell ref="B350:C350"/>
    <mergeCell ref="B353:C353"/>
    <mergeCell ref="B307:C307"/>
    <mergeCell ref="B331:C331"/>
    <mergeCell ref="A334:C334"/>
    <mergeCell ref="A332:C332"/>
    <mergeCell ref="B333:C333"/>
    <mergeCell ref="B330:C330"/>
    <mergeCell ref="A325:C325"/>
    <mergeCell ref="B323:C323"/>
    <mergeCell ref="B321:C321"/>
    <mergeCell ref="B329:C329"/>
    <mergeCell ref="B322:C322"/>
    <mergeCell ref="B324:C324"/>
    <mergeCell ref="B343:C343"/>
    <mergeCell ref="B328:C328"/>
    <mergeCell ref="B326:C326"/>
    <mergeCell ref="B327:C327"/>
    <mergeCell ref="B311:C311"/>
    <mergeCell ref="B319:C319"/>
    <mergeCell ref="B316:C316"/>
    <mergeCell ref="B317:C317"/>
    <mergeCell ref="B312:C312"/>
    <mergeCell ref="B315:C315"/>
    <mergeCell ref="B318:C318"/>
    <mergeCell ref="B314:C314"/>
    <mergeCell ref="B292:C292"/>
    <mergeCell ref="B309:C309"/>
    <mergeCell ref="B308:C308"/>
    <mergeCell ref="B302:C302"/>
    <mergeCell ref="B304:C304"/>
    <mergeCell ref="B298:C298"/>
    <mergeCell ref="B296:C296"/>
    <mergeCell ref="B295:C295"/>
    <mergeCell ref="B300:C300"/>
    <mergeCell ref="B303:C303"/>
    <mergeCell ref="B293:C293"/>
    <mergeCell ref="B294:C294"/>
    <mergeCell ref="B301:C301"/>
    <mergeCell ref="B170:C170"/>
    <mergeCell ref="B173:C173"/>
    <mergeCell ref="B169:C169"/>
    <mergeCell ref="B167:C167"/>
    <mergeCell ref="B268:C268"/>
    <mergeCell ref="B269:C269"/>
    <mergeCell ref="A241:C241"/>
    <mergeCell ref="B211:C211"/>
    <mergeCell ref="B260:C260"/>
    <mergeCell ref="B251:C251"/>
    <mergeCell ref="B206:C206"/>
    <mergeCell ref="B236:C236"/>
    <mergeCell ref="B230:C230"/>
    <mergeCell ref="B227:C227"/>
    <mergeCell ref="B231:C231"/>
    <mergeCell ref="B228:C228"/>
    <mergeCell ref="B229:C229"/>
    <mergeCell ref="B217:C217"/>
    <mergeCell ref="B256:C256"/>
    <mergeCell ref="B212:C212"/>
    <mergeCell ref="B183:C183"/>
    <mergeCell ref="B177:C177"/>
    <mergeCell ref="B198:C198"/>
    <mergeCell ref="B205:C205"/>
    <mergeCell ref="B273:C273"/>
    <mergeCell ref="B266:C266"/>
    <mergeCell ref="B259:C259"/>
    <mergeCell ref="B272:C272"/>
    <mergeCell ref="B264:C264"/>
    <mergeCell ref="B263:C263"/>
    <mergeCell ref="B271:C271"/>
    <mergeCell ref="B267:C267"/>
    <mergeCell ref="B257:C257"/>
    <mergeCell ref="B262:C262"/>
    <mergeCell ref="B265:C265"/>
    <mergeCell ref="B270:C270"/>
    <mergeCell ref="B283:C283"/>
    <mergeCell ref="B276:C276"/>
    <mergeCell ref="B274:C274"/>
    <mergeCell ref="B275:C275"/>
    <mergeCell ref="B282:C282"/>
    <mergeCell ref="B281:C281"/>
    <mergeCell ref="B255:C255"/>
    <mergeCell ref="B253:C253"/>
    <mergeCell ref="B213:C213"/>
    <mergeCell ref="B215:C215"/>
    <mergeCell ref="B221:C221"/>
    <mergeCell ref="B254:C254"/>
    <mergeCell ref="B252:C252"/>
    <mergeCell ref="B248:C248"/>
    <mergeCell ref="A234:C234"/>
    <mergeCell ref="B214:C214"/>
    <mergeCell ref="B220:C220"/>
    <mergeCell ref="B219:C219"/>
    <mergeCell ref="B222:C222"/>
    <mergeCell ref="B238:C238"/>
    <mergeCell ref="B224:C224"/>
    <mergeCell ref="B240:C240"/>
    <mergeCell ref="A239:C239"/>
    <mergeCell ref="B243:C243"/>
    <mergeCell ref="C1:D1"/>
    <mergeCell ref="B108:C108"/>
    <mergeCell ref="B109:C109"/>
    <mergeCell ref="B110:C110"/>
    <mergeCell ref="B111:C111"/>
    <mergeCell ref="B90:C90"/>
    <mergeCell ref="B95:C95"/>
    <mergeCell ref="B94:C94"/>
    <mergeCell ref="B25:C25"/>
    <mergeCell ref="B26:C26"/>
    <mergeCell ref="B60:C60"/>
    <mergeCell ref="B71:C71"/>
    <mergeCell ref="B83:C83"/>
    <mergeCell ref="B85:C85"/>
    <mergeCell ref="B88:C88"/>
    <mergeCell ref="B31:C31"/>
    <mergeCell ref="B18:C18"/>
    <mergeCell ref="B27:C27"/>
    <mergeCell ref="B82:C82"/>
    <mergeCell ref="B75:C75"/>
    <mergeCell ref="B84:C84"/>
    <mergeCell ref="B78:C78"/>
    <mergeCell ref="B29:C29"/>
    <mergeCell ref="B17:C17"/>
    <mergeCell ref="B130:C130"/>
    <mergeCell ref="A93:C93"/>
    <mergeCell ref="B33:C33"/>
    <mergeCell ref="B121:C121"/>
    <mergeCell ref="B129:C129"/>
    <mergeCell ref="B124:C124"/>
    <mergeCell ref="B122:C122"/>
    <mergeCell ref="B99:C99"/>
    <mergeCell ref="B102:C102"/>
    <mergeCell ref="B98:C98"/>
    <mergeCell ref="B123:C123"/>
    <mergeCell ref="B56:C56"/>
    <mergeCell ref="B39:C39"/>
    <mergeCell ref="B40:C40"/>
    <mergeCell ref="B41:C41"/>
    <mergeCell ref="B42:C42"/>
    <mergeCell ref="B97:C97"/>
    <mergeCell ref="B50:C50"/>
    <mergeCell ref="A52:C52"/>
    <mergeCell ref="B63:C63"/>
    <mergeCell ref="B47:C47"/>
    <mergeCell ref="B72:C72"/>
    <mergeCell ref="B76:C76"/>
    <mergeCell ref="B35:C35"/>
    <mergeCell ref="B32:C32"/>
    <mergeCell ref="B67:C67"/>
    <mergeCell ref="B36:C36"/>
    <mergeCell ref="B19:C19"/>
    <mergeCell ref="B20:C20"/>
    <mergeCell ref="B77:C77"/>
    <mergeCell ref="B49:C49"/>
    <mergeCell ref="B61:C61"/>
    <mergeCell ref="B59:C59"/>
    <mergeCell ref="B64:C64"/>
    <mergeCell ref="B54:C54"/>
    <mergeCell ref="B57:C57"/>
    <mergeCell ref="B66:C66"/>
    <mergeCell ref="B48:C48"/>
    <mergeCell ref="B62:C62"/>
    <mergeCell ref="B68:C68"/>
    <mergeCell ref="B34:C34"/>
    <mergeCell ref="B43:C43"/>
    <mergeCell ref="B44:C44"/>
    <mergeCell ref="B51:C51"/>
    <mergeCell ref="B69:C69"/>
    <mergeCell ref="B73:C73"/>
    <mergeCell ref="B58:C58"/>
    <mergeCell ref="B74:C74"/>
    <mergeCell ref="B86:C86"/>
    <mergeCell ref="B30:C30"/>
    <mergeCell ref="B21:C21"/>
    <mergeCell ref="B22:C22"/>
    <mergeCell ref="B23:C23"/>
    <mergeCell ref="C2:D2"/>
    <mergeCell ref="A5:D5"/>
    <mergeCell ref="A8:D8"/>
    <mergeCell ref="D10:D12"/>
    <mergeCell ref="B6:C6"/>
    <mergeCell ref="B7:C7"/>
    <mergeCell ref="A10:A12"/>
    <mergeCell ref="B10:C12"/>
    <mergeCell ref="B16:C16"/>
    <mergeCell ref="B15:C15"/>
    <mergeCell ref="B13:C13"/>
    <mergeCell ref="C3:D3"/>
    <mergeCell ref="A14:D14"/>
    <mergeCell ref="B81:C81"/>
    <mergeCell ref="B70:C70"/>
    <mergeCell ref="B28:C28"/>
    <mergeCell ref="B65:C65"/>
    <mergeCell ref="B53:C53"/>
    <mergeCell ref="B55:C55"/>
    <mergeCell ref="B79:C79"/>
    <mergeCell ref="B45:C45"/>
    <mergeCell ref="B46:C46"/>
    <mergeCell ref="B37:C37"/>
    <mergeCell ref="B38:C38"/>
    <mergeCell ref="B364:C364"/>
    <mergeCell ref="B87:C87"/>
    <mergeCell ref="B106:C106"/>
    <mergeCell ref="B107:C107"/>
    <mergeCell ref="B140:C140"/>
    <mergeCell ref="B154:C154"/>
    <mergeCell ref="B159:C159"/>
    <mergeCell ref="B160:C160"/>
    <mergeCell ref="B146:C146"/>
    <mergeCell ref="B138:C138"/>
    <mergeCell ref="B139:C139"/>
    <mergeCell ref="B141:C141"/>
    <mergeCell ref="B144:C144"/>
    <mergeCell ref="B135:C135"/>
    <mergeCell ref="B137:C137"/>
    <mergeCell ref="B128:C128"/>
    <mergeCell ref="B105:C105"/>
    <mergeCell ref="B92:C92"/>
    <mergeCell ref="B89:C89"/>
    <mergeCell ref="B363:C363"/>
    <mergeCell ref="B320:C320"/>
    <mergeCell ref="B362:C362"/>
    <mergeCell ref="B119:C119"/>
    <mergeCell ref="B218:C218"/>
    <mergeCell ref="B258:C258"/>
    <mergeCell ref="A261:C261"/>
    <mergeCell ref="B245:C245"/>
    <mergeCell ref="B246:C246"/>
    <mergeCell ref="B149:C149"/>
    <mergeCell ref="B150:C150"/>
    <mergeCell ref="A171:C171"/>
    <mergeCell ref="B188:C188"/>
    <mergeCell ref="B189:C189"/>
    <mergeCell ref="B178:C178"/>
    <mergeCell ref="B181:C181"/>
    <mergeCell ref="B190:C190"/>
    <mergeCell ref="B163:C163"/>
    <mergeCell ref="A158:C158"/>
    <mergeCell ref="B166:C166"/>
    <mergeCell ref="B176:C176"/>
    <mergeCell ref="B172:C172"/>
    <mergeCell ref="B175:C175"/>
    <mergeCell ref="B164:C164"/>
    <mergeCell ref="A80:C80"/>
    <mergeCell ref="B235:C235"/>
    <mergeCell ref="B237:C237"/>
    <mergeCell ref="A244:D244"/>
    <mergeCell ref="B247:C247"/>
    <mergeCell ref="B112:C112"/>
    <mergeCell ref="B157:C157"/>
    <mergeCell ref="B103:C103"/>
    <mergeCell ref="B104:C104"/>
    <mergeCell ref="B156:C156"/>
    <mergeCell ref="B115:C115"/>
    <mergeCell ref="B174:C174"/>
    <mergeCell ref="B187:C187"/>
    <mergeCell ref="B114:C114"/>
    <mergeCell ref="B233:C233"/>
    <mergeCell ref="B232:C232"/>
    <mergeCell ref="B142:C142"/>
    <mergeCell ref="B91:C91"/>
    <mergeCell ref="B179:C179"/>
    <mergeCell ref="B185:C185"/>
    <mergeCell ref="B191:C191"/>
    <mergeCell ref="B182:C182"/>
    <mergeCell ref="B147:C147"/>
    <mergeCell ref="B148:C148"/>
    <mergeCell ref="B180:C180"/>
    <mergeCell ref="B192:C192"/>
    <mergeCell ref="B199:C199"/>
    <mergeCell ref="B197:C197"/>
    <mergeCell ref="B200:C200"/>
    <mergeCell ref="B186:C186"/>
    <mergeCell ref="B242:C242"/>
    <mergeCell ref="B225:C225"/>
    <mergeCell ref="B226:C226"/>
    <mergeCell ref="B184:C184"/>
    <mergeCell ref="B194:C194"/>
    <mergeCell ref="B195:C195"/>
    <mergeCell ref="B193:C193"/>
    <mergeCell ref="B223:C223"/>
    <mergeCell ref="B202:C202"/>
    <mergeCell ref="B203:C203"/>
    <mergeCell ref="B210:C210"/>
    <mergeCell ref="B209:C209"/>
    <mergeCell ref="B196:C196"/>
    <mergeCell ref="B216:C216"/>
    <mergeCell ref="B207:C207"/>
    <mergeCell ref="B201:C201"/>
    <mergeCell ref="B101:C101"/>
    <mergeCell ref="B96:C96"/>
    <mergeCell ref="B136:C136"/>
    <mergeCell ref="B145:C145"/>
    <mergeCell ref="B162:C162"/>
    <mergeCell ref="B153:C153"/>
    <mergeCell ref="B155:C155"/>
    <mergeCell ref="B117:C117"/>
    <mergeCell ref="B127:C127"/>
    <mergeCell ref="B116:C116"/>
    <mergeCell ref="B133:C133"/>
    <mergeCell ref="B134:C134"/>
    <mergeCell ref="B143:C143"/>
    <mergeCell ref="B125:C125"/>
    <mergeCell ref="B126:C126"/>
    <mergeCell ref="B100:C100"/>
    <mergeCell ref="B118:C118"/>
    <mergeCell ref="B131:C131"/>
    <mergeCell ref="B161:C161"/>
    <mergeCell ref="B152:C152"/>
    <mergeCell ref="B151:C151"/>
    <mergeCell ref="B113:C113"/>
    <mergeCell ref="B120:C120"/>
    <mergeCell ref="B132:C132"/>
    <mergeCell ref="B357:C357"/>
    <mergeCell ref="B168:C168"/>
    <mergeCell ref="B358:C358"/>
    <mergeCell ref="B359:C359"/>
    <mergeCell ref="B360:C360"/>
    <mergeCell ref="B338:C338"/>
    <mergeCell ref="A361:C361"/>
    <mergeCell ref="B345:C345"/>
    <mergeCell ref="B347:C347"/>
    <mergeCell ref="B348:C348"/>
    <mergeCell ref="B349:C349"/>
    <mergeCell ref="B351:C351"/>
    <mergeCell ref="B352:C352"/>
    <mergeCell ref="B354:C354"/>
    <mergeCell ref="B355:C355"/>
    <mergeCell ref="B356:C356"/>
    <mergeCell ref="B344:C344"/>
    <mergeCell ref="B335:C335"/>
    <mergeCell ref="B336:C336"/>
    <mergeCell ref="B337:C337"/>
    <mergeCell ref="B339:C339"/>
    <mergeCell ref="B340:C340"/>
    <mergeCell ref="B341:C341"/>
    <mergeCell ref="B342:C342"/>
  </mergeCells>
  <printOptions horizontalCentered="1"/>
  <pageMargins left="0.98425196850393704" right="0.39370078740157483" top="0.78740157480314965" bottom="0.78740157480314965" header="0.39370078740157483" footer="0.39370078740157483"/>
  <pageSetup paperSize="9" scale="43" firstPageNumber="0" fitToWidth="0" fitToHeight="0" orientation="portrait" horizontalDpi="300" verticalDpi="300" r:id="rId4"/>
  <headerFooter differentFirst="1" scaleWithDoc="0" alignWithMargins="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8"/>
  <sheetViews>
    <sheetView showZeros="0" view="pageBreakPreview" topLeftCell="A570" zoomScale="60" zoomScaleNormal="50" workbookViewId="0">
      <selection activeCell="D602" sqref="D602"/>
    </sheetView>
  </sheetViews>
  <sheetFormatPr defaultColWidth="9.140625" defaultRowHeight="18.75" x14ac:dyDescent="0.3"/>
  <cols>
    <col min="1" max="1" width="21.28515625" style="1" customWidth="1"/>
    <col min="2" max="2" width="21.140625" style="3" customWidth="1"/>
    <col min="3" max="3" width="72.42578125" style="1" customWidth="1"/>
    <col min="4" max="4" width="21.28515625" style="1" customWidth="1"/>
    <col min="5" max="5" width="25.85546875" style="7" customWidth="1"/>
    <col min="6" max="7" width="23.42578125" style="7" customWidth="1"/>
    <col min="8" max="8" width="25.7109375" style="7" customWidth="1"/>
    <col min="9" max="9" width="25.42578125" style="7" customWidth="1"/>
    <col min="10" max="10" width="10.28515625" style="1" customWidth="1"/>
    <col min="11" max="16384" width="9.140625" style="1"/>
  </cols>
  <sheetData>
    <row r="1" spans="1:9" x14ac:dyDescent="0.3">
      <c r="F1" s="89"/>
      <c r="G1" s="89"/>
      <c r="H1" s="89"/>
      <c r="I1" s="89"/>
    </row>
    <row r="2" spans="1:9" x14ac:dyDescent="0.3">
      <c r="F2" s="89"/>
      <c r="G2" s="89"/>
      <c r="H2" s="89"/>
      <c r="I2" s="89"/>
    </row>
    <row r="3" spans="1:9" ht="22.5" x14ac:dyDescent="0.3">
      <c r="A3" s="74" t="s">
        <v>85</v>
      </c>
      <c r="B3" s="74"/>
      <c r="C3" s="74"/>
      <c r="D3" s="74"/>
      <c r="E3" s="74"/>
      <c r="F3" s="74"/>
      <c r="G3" s="74"/>
      <c r="H3" s="74"/>
      <c r="I3" s="74"/>
    </row>
    <row r="4" spans="1:9" x14ac:dyDescent="0.3">
      <c r="E4" s="50"/>
      <c r="F4" s="50"/>
      <c r="G4" s="50"/>
      <c r="H4" s="50"/>
      <c r="I4" s="50" t="s">
        <v>104</v>
      </c>
    </row>
    <row r="5" spans="1:9" x14ac:dyDescent="0.3">
      <c r="A5" s="114" t="s">
        <v>92</v>
      </c>
      <c r="B5" s="114" t="s">
        <v>86</v>
      </c>
      <c r="C5" s="114" t="s">
        <v>87</v>
      </c>
      <c r="D5" s="114"/>
      <c r="E5" s="105" t="s">
        <v>81</v>
      </c>
      <c r="F5" s="126" t="s">
        <v>4</v>
      </c>
      <c r="G5" s="127"/>
      <c r="H5" s="127"/>
      <c r="I5" s="128"/>
    </row>
    <row r="6" spans="1:9" ht="18.75" customHeight="1" x14ac:dyDescent="0.3">
      <c r="A6" s="114" t="s">
        <v>2</v>
      </c>
      <c r="B6" s="114"/>
      <c r="C6" s="114"/>
      <c r="D6" s="114"/>
      <c r="E6" s="105"/>
      <c r="F6" s="129"/>
      <c r="G6" s="130"/>
      <c r="H6" s="130"/>
      <c r="I6" s="131"/>
    </row>
    <row r="7" spans="1:9" ht="18.75" customHeight="1" x14ac:dyDescent="0.3">
      <c r="A7" s="114"/>
      <c r="B7" s="114"/>
      <c r="C7" s="114"/>
      <c r="D7" s="114"/>
      <c r="E7" s="105"/>
      <c r="F7" s="129"/>
      <c r="G7" s="130"/>
      <c r="H7" s="130"/>
      <c r="I7" s="131"/>
    </row>
    <row r="8" spans="1:9" ht="66" customHeight="1" x14ac:dyDescent="0.3">
      <c r="A8" s="114"/>
      <c r="B8" s="114"/>
      <c r="C8" s="114"/>
      <c r="D8" s="114"/>
      <c r="E8" s="105"/>
      <c r="F8" s="129"/>
      <c r="G8" s="130"/>
      <c r="H8" s="130"/>
      <c r="I8" s="131"/>
    </row>
    <row r="9" spans="1:9" ht="5.25" customHeight="1" x14ac:dyDescent="0.3">
      <c r="A9" s="114"/>
      <c r="B9" s="114"/>
      <c r="C9" s="114"/>
      <c r="D9" s="114"/>
      <c r="E9" s="105"/>
      <c r="F9" s="132"/>
      <c r="G9" s="133"/>
      <c r="H9" s="133"/>
      <c r="I9" s="134"/>
    </row>
    <row r="10" spans="1:9" ht="18.75" customHeight="1" x14ac:dyDescent="0.3">
      <c r="A10" s="51" t="s">
        <v>88</v>
      </c>
      <c r="B10" s="51">
        <v>2</v>
      </c>
      <c r="C10" s="114">
        <v>3</v>
      </c>
      <c r="D10" s="114"/>
      <c r="E10" s="21">
        <v>4</v>
      </c>
      <c r="F10" s="111">
        <v>5</v>
      </c>
      <c r="G10" s="112"/>
      <c r="H10" s="112"/>
      <c r="I10" s="113"/>
    </row>
    <row r="11" spans="1:9" ht="24" customHeight="1" x14ac:dyDescent="0.3">
      <c r="A11" s="115" t="s">
        <v>93</v>
      </c>
      <c r="B11" s="116"/>
      <c r="C11" s="116"/>
      <c r="D11" s="116"/>
      <c r="E11" s="116"/>
      <c r="F11" s="116"/>
      <c r="G11" s="116"/>
      <c r="H11" s="116"/>
      <c r="I11" s="117"/>
    </row>
    <row r="12" spans="1:9" ht="33.75" customHeight="1" x14ac:dyDescent="0.3">
      <c r="A12" s="45" t="s">
        <v>235</v>
      </c>
      <c r="B12" s="46">
        <v>9150</v>
      </c>
      <c r="C12" s="96" t="s">
        <v>102</v>
      </c>
      <c r="D12" s="97"/>
      <c r="E12" s="47">
        <f>E13+E24+E45</f>
        <v>31291062.460000001</v>
      </c>
      <c r="F12" s="86"/>
      <c r="G12" s="87"/>
      <c r="H12" s="87"/>
      <c r="I12" s="88"/>
    </row>
    <row r="13" spans="1:9" s="8" customFormat="1" ht="33" customHeight="1" x14ac:dyDescent="0.3">
      <c r="A13" s="14">
        <v>410000000</v>
      </c>
      <c r="B13" s="49"/>
      <c r="C13" s="106" t="s">
        <v>0</v>
      </c>
      <c r="D13" s="106"/>
      <c r="E13" s="22">
        <f>71.86+89.14+31.91+31.4+23.05+25.3+26.23+21.96</f>
        <v>320.85000000000002</v>
      </c>
      <c r="F13" s="86"/>
      <c r="G13" s="87"/>
      <c r="H13" s="87"/>
      <c r="I13" s="88"/>
    </row>
    <row r="14" spans="1:9" s="8" customFormat="1" ht="33" customHeight="1" x14ac:dyDescent="0.3">
      <c r="A14" s="13">
        <v>457400000</v>
      </c>
      <c r="B14" s="51"/>
      <c r="C14" s="81" t="s">
        <v>15</v>
      </c>
      <c r="D14" s="81"/>
      <c r="E14" s="23">
        <f>13692.92+29227.08+13108.21+12958.74+12570.99+7611.36+6822.15+9039.51</f>
        <v>105030.95999999999</v>
      </c>
      <c r="F14" s="86"/>
      <c r="G14" s="87"/>
      <c r="H14" s="87"/>
      <c r="I14" s="88"/>
    </row>
    <row r="15" spans="1:9" ht="33" customHeight="1" x14ac:dyDescent="0.3">
      <c r="A15" s="13">
        <v>457600000</v>
      </c>
      <c r="B15" s="51"/>
      <c r="C15" s="81" t="s">
        <v>17</v>
      </c>
      <c r="D15" s="81"/>
      <c r="E15" s="23">
        <f>21306.32+53372.71+10718.66+8589.07+8223.59+5542.77+6347.67+6919.23</f>
        <v>121020.02</v>
      </c>
      <c r="F15" s="86"/>
      <c r="G15" s="87"/>
      <c r="H15" s="87"/>
      <c r="I15" s="88"/>
    </row>
    <row r="16" spans="1:9" ht="33" customHeight="1" x14ac:dyDescent="0.3">
      <c r="A16" s="13">
        <v>457700000</v>
      </c>
      <c r="B16" s="51"/>
      <c r="C16" s="81" t="s">
        <v>18</v>
      </c>
      <c r="D16" s="81"/>
      <c r="E16" s="23">
        <f>137509.61+713676.3+317637.56+265825.8+260521.69+106194.4+122632.25+100182.59</f>
        <v>2024180.2</v>
      </c>
      <c r="F16" s="86"/>
      <c r="G16" s="87"/>
      <c r="H16" s="87"/>
      <c r="I16" s="88"/>
    </row>
    <row r="17" spans="1:9" ht="33" customHeight="1" x14ac:dyDescent="0.3">
      <c r="A17" s="13">
        <v>457100000</v>
      </c>
      <c r="B17" s="51"/>
      <c r="C17" s="81" t="s">
        <v>125</v>
      </c>
      <c r="D17" s="81"/>
      <c r="E17" s="23">
        <f>73214.3+356945.29+109840.6+269163.59+110199.91+64091.4+56563.51+63659.3</f>
        <v>1103677.9000000001</v>
      </c>
      <c r="F17" s="86"/>
      <c r="G17" s="87"/>
      <c r="H17" s="87"/>
      <c r="I17" s="88"/>
    </row>
    <row r="18" spans="1:9" ht="33" customHeight="1" x14ac:dyDescent="0.3">
      <c r="A18" s="13">
        <v>457810000</v>
      </c>
      <c r="B18" s="51"/>
      <c r="C18" s="81" t="s">
        <v>19</v>
      </c>
      <c r="D18" s="81"/>
      <c r="E18" s="23">
        <f>989267.42+4349370.52+2469204.03+1416506.74+790863.37+227485.82+197605.54+127901.27</f>
        <v>10568204.709999997</v>
      </c>
      <c r="F18" s="86"/>
      <c r="G18" s="87"/>
      <c r="H18" s="87"/>
      <c r="I18" s="88"/>
    </row>
    <row r="19" spans="1:9" ht="33" customHeight="1" x14ac:dyDescent="0.3">
      <c r="A19" s="13">
        <v>458100000</v>
      </c>
      <c r="B19" s="51"/>
      <c r="C19" s="81" t="s">
        <v>21</v>
      </c>
      <c r="D19" s="81"/>
      <c r="E19" s="23">
        <f>130350.78+619951.47+334442.75+275467.47+232065.47+97427.27+73662.97+79073.39</f>
        <v>1842441.5699999998</v>
      </c>
      <c r="F19" s="86"/>
      <c r="G19" s="87"/>
      <c r="H19" s="87"/>
      <c r="I19" s="88"/>
    </row>
    <row r="20" spans="1:9" ht="33" customHeight="1" x14ac:dyDescent="0.3">
      <c r="A20" s="13">
        <v>458400000</v>
      </c>
      <c r="B20" s="51"/>
      <c r="C20" s="81" t="s">
        <v>24</v>
      </c>
      <c r="D20" s="81"/>
      <c r="E20" s="23">
        <f>559139.02+403916.23+322820.49+323855.53+135074.64+150623.02+172649.26</f>
        <v>2068078.1900000002</v>
      </c>
      <c r="F20" s="86"/>
      <c r="G20" s="87"/>
      <c r="H20" s="87"/>
      <c r="I20" s="88"/>
    </row>
    <row r="21" spans="1:9" ht="33" customHeight="1" x14ac:dyDescent="0.3">
      <c r="A21" s="13">
        <v>458500000</v>
      </c>
      <c r="B21" s="51"/>
      <c r="C21" s="81" t="s">
        <v>25</v>
      </c>
      <c r="D21" s="81"/>
      <c r="E21" s="23">
        <f>208152.56+278197.19+138319.97+157943.16+164676.25+93872.02+98008.88+99901.7</f>
        <v>1239071.73</v>
      </c>
      <c r="F21" s="86"/>
      <c r="G21" s="87"/>
      <c r="H21" s="87"/>
      <c r="I21" s="88"/>
    </row>
    <row r="22" spans="1:9" ht="34.5" customHeight="1" x14ac:dyDescent="0.3">
      <c r="A22" s="13">
        <v>456200000</v>
      </c>
      <c r="B22" s="51"/>
      <c r="C22" s="81" t="s">
        <v>32</v>
      </c>
      <c r="D22" s="81"/>
      <c r="E22" s="23">
        <f>33755.05+193441.25+116250.99+77344.59+93336.34+16781.4+17324.4+21320.45</f>
        <v>569554.47</v>
      </c>
      <c r="F22" s="86"/>
      <c r="G22" s="87"/>
      <c r="H22" s="87"/>
      <c r="I22" s="88"/>
    </row>
    <row r="23" spans="1:9" ht="31.5" customHeight="1" x14ac:dyDescent="0.3">
      <c r="A23" s="13">
        <v>458900000</v>
      </c>
      <c r="B23" s="51"/>
      <c r="C23" s="81" t="s">
        <v>29</v>
      </c>
      <c r="D23" s="81"/>
      <c r="E23" s="23">
        <v>16165.91</v>
      </c>
      <c r="F23" s="86"/>
      <c r="G23" s="87"/>
      <c r="H23" s="87"/>
      <c r="I23" s="88"/>
    </row>
    <row r="24" spans="1:9" s="8" customFormat="1" ht="33" customHeight="1" x14ac:dyDescent="0.3">
      <c r="A24" s="85" t="s">
        <v>97</v>
      </c>
      <c r="B24" s="85"/>
      <c r="C24" s="85"/>
      <c r="D24" s="85"/>
      <c r="E24" s="22">
        <f>SUM(E14:E23)</f>
        <v>19657425.659999996</v>
      </c>
      <c r="F24" s="86"/>
      <c r="G24" s="87"/>
      <c r="H24" s="87"/>
      <c r="I24" s="88"/>
    </row>
    <row r="25" spans="1:9" ht="33" customHeight="1" x14ac:dyDescent="0.3">
      <c r="A25" s="13">
        <v>452000000</v>
      </c>
      <c r="B25" s="51"/>
      <c r="C25" s="81" t="s">
        <v>48</v>
      </c>
      <c r="D25" s="81"/>
      <c r="E25" s="20">
        <v>18409.39</v>
      </c>
      <c r="F25" s="86"/>
      <c r="G25" s="87"/>
      <c r="H25" s="87"/>
      <c r="I25" s="88"/>
    </row>
    <row r="26" spans="1:9" ht="33" customHeight="1" x14ac:dyDescent="0.3">
      <c r="A26" s="13">
        <v>453500000</v>
      </c>
      <c r="B26" s="51"/>
      <c r="C26" s="81" t="s">
        <v>6</v>
      </c>
      <c r="D26" s="81"/>
      <c r="E26" s="20">
        <f>9445.07+35505.12+24605.28+19903.26+21069.42+5719.95+3773.84+10355.87</f>
        <v>130377.80999999998</v>
      </c>
      <c r="F26" s="86"/>
      <c r="G26" s="87"/>
      <c r="H26" s="87"/>
      <c r="I26" s="88"/>
    </row>
    <row r="27" spans="1:9" ht="33" customHeight="1" x14ac:dyDescent="0.3">
      <c r="A27" s="13" t="s">
        <v>151</v>
      </c>
      <c r="B27" s="58"/>
      <c r="C27" s="81" t="s">
        <v>152</v>
      </c>
      <c r="D27" s="81"/>
      <c r="E27" s="20">
        <f>6729.6+43111.75+18759.94+19210.71+17881.12+5179.06+5283.46+3074.98</f>
        <v>119230.62</v>
      </c>
      <c r="F27" s="86"/>
      <c r="G27" s="87"/>
      <c r="H27" s="87"/>
      <c r="I27" s="88"/>
    </row>
    <row r="28" spans="1:9" ht="33" customHeight="1" x14ac:dyDescent="0.3">
      <c r="A28" s="13">
        <v>452200000</v>
      </c>
      <c r="B28" s="51"/>
      <c r="C28" s="101" t="s">
        <v>50</v>
      </c>
      <c r="D28" s="102"/>
      <c r="E28" s="20">
        <f>16349.55+106068.24+26100.55+45066.29+77237.62+13352.17+20683.05+14936.92</f>
        <v>319794.38999999996</v>
      </c>
      <c r="F28" s="86"/>
      <c r="G28" s="87"/>
      <c r="H28" s="87"/>
      <c r="I28" s="88"/>
    </row>
    <row r="29" spans="1:9" s="8" customFormat="1" ht="33" customHeight="1" x14ac:dyDescent="0.3">
      <c r="A29" s="13">
        <v>456500000</v>
      </c>
      <c r="B29" s="51"/>
      <c r="C29" s="81" t="s">
        <v>9</v>
      </c>
      <c r="D29" s="81"/>
      <c r="E29" s="20">
        <f>129172.25+327126.48+66192.74+231350.06+196437.69+134956.08+88364.1+78724.38</f>
        <v>1252323.7800000003</v>
      </c>
      <c r="F29" s="86"/>
      <c r="G29" s="87"/>
      <c r="H29" s="87"/>
      <c r="I29" s="88"/>
    </row>
    <row r="30" spans="1:9" s="8" customFormat="1" ht="33" customHeight="1" x14ac:dyDescent="0.3">
      <c r="A30" s="13">
        <v>453700000</v>
      </c>
      <c r="B30" s="51"/>
      <c r="C30" s="81" t="s">
        <v>61</v>
      </c>
      <c r="D30" s="81"/>
      <c r="E30" s="20">
        <f>251573.49+1436952.53+952075.47+544398.48</f>
        <v>3184999.97</v>
      </c>
      <c r="F30" s="86"/>
      <c r="G30" s="87"/>
      <c r="H30" s="87"/>
      <c r="I30" s="88"/>
    </row>
    <row r="31" spans="1:9" ht="33" customHeight="1" x14ac:dyDescent="0.3">
      <c r="A31" s="13">
        <v>454400000</v>
      </c>
      <c r="B31" s="51"/>
      <c r="C31" s="81" t="s">
        <v>99</v>
      </c>
      <c r="D31" s="81"/>
      <c r="E31" s="20">
        <f>50113.05+312446.15+215271.16+146213.24+92198.98+48929.7+36448.57+35980.55</f>
        <v>937601.39999999991</v>
      </c>
      <c r="F31" s="86"/>
      <c r="G31" s="87"/>
      <c r="H31" s="87"/>
      <c r="I31" s="88"/>
    </row>
    <row r="32" spans="1:9" ht="33" customHeight="1" x14ac:dyDescent="0.3">
      <c r="A32" s="13">
        <v>451100000</v>
      </c>
      <c r="B32" s="51"/>
      <c r="C32" s="81" t="s">
        <v>79</v>
      </c>
      <c r="D32" s="81"/>
      <c r="E32" s="20">
        <v>35847.839999999997</v>
      </c>
      <c r="F32" s="86"/>
      <c r="G32" s="87"/>
      <c r="H32" s="87"/>
      <c r="I32" s="88"/>
    </row>
    <row r="33" spans="1:9" ht="33" customHeight="1" x14ac:dyDescent="0.3">
      <c r="A33" s="13">
        <v>451200000</v>
      </c>
      <c r="B33" s="51"/>
      <c r="C33" s="81" t="s">
        <v>43</v>
      </c>
      <c r="D33" s="81"/>
      <c r="E33" s="20">
        <f>10113.5+22480.42+12582.85+9070.29+13382.63+8653.48+8738.73+8464.68</f>
        <v>93486.579999999987</v>
      </c>
      <c r="F33" s="86"/>
      <c r="G33" s="87"/>
      <c r="H33" s="87"/>
      <c r="I33" s="88"/>
    </row>
    <row r="34" spans="1:9" ht="33" customHeight="1" x14ac:dyDescent="0.3">
      <c r="A34" s="13">
        <v>454300000</v>
      </c>
      <c r="B34" s="51"/>
      <c r="C34" s="81" t="s">
        <v>64</v>
      </c>
      <c r="D34" s="81"/>
      <c r="E34" s="20">
        <f>44648.78+255273.04+116469.05+86279.66+70324.17+28720.8+15439.55+10854.23</f>
        <v>628009.28000000014</v>
      </c>
      <c r="F34" s="86"/>
      <c r="G34" s="87"/>
      <c r="H34" s="87"/>
      <c r="I34" s="88"/>
    </row>
    <row r="35" spans="1:9" ht="33" customHeight="1" x14ac:dyDescent="0.3">
      <c r="A35" s="13">
        <v>456800000</v>
      </c>
      <c r="B35" s="51"/>
      <c r="C35" s="81" t="s">
        <v>12</v>
      </c>
      <c r="D35" s="81"/>
      <c r="E35" s="20">
        <f>71329.49+723089.42+280295.65</f>
        <v>1074714.56</v>
      </c>
      <c r="F35" s="86"/>
      <c r="G35" s="87"/>
      <c r="H35" s="87"/>
      <c r="I35" s="88"/>
    </row>
    <row r="36" spans="1:9" ht="33" customHeight="1" x14ac:dyDescent="0.3">
      <c r="A36" s="13">
        <v>452300000</v>
      </c>
      <c r="B36" s="51"/>
      <c r="C36" s="81" t="s">
        <v>51</v>
      </c>
      <c r="D36" s="81"/>
      <c r="E36" s="20">
        <f>150946.06+489706.92+199913.53+150450.98+110968.86+51486.1+43376.5+26037.13</f>
        <v>1222886.08</v>
      </c>
      <c r="F36" s="86"/>
      <c r="G36" s="87"/>
      <c r="H36" s="87"/>
      <c r="I36" s="88"/>
    </row>
    <row r="37" spans="1:9" ht="33" customHeight="1" x14ac:dyDescent="0.3">
      <c r="A37" s="13">
        <v>458800000</v>
      </c>
      <c r="B37" s="51"/>
      <c r="C37" s="81" t="s">
        <v>28</v>
      </c>
      <c r="D37" s="81"/>
      <c r="E37" s="20">
        <f>65840.76+266367.77+118414.66+85377.29+92875.34+42151.03+29412.96+45846.7</f>
        <v>746286.51</v>
      </c>
      <c r="F37" s="86"/>
      <c r="G37" s="87"/>
      <c r="H37" s="87"/>
      <c r="I37" s="88"/>
    </row>
    <row r="38" spans="1:9" s="2" customFormat="1" ht="33" customHeight="1" x14ac:dyDescent="0.3">
      <c r="A38" s="13">
        <v>451300000</v>
      </c>
      <c r="B38" s="51"/>
      <c r="C38" s="81" t="s">
        <v>44</v>
      </c>
      <c r="D38" s="81"/>
      <c r="E38" s="20">
        <f>64498.25+178937.54+130867.94+99555.19</f>
        <v>473858.92</v>
      </c>
      <c r="F38" s="86"/>
      <c r="G38" s="87"/>
      <c r="H38" s="87"/>
      <c r="I38" s="88"/>
    </row>
    <row r="39" spans="1:9" s="2" customFormat="1" ht="33" customHeight="1" x14ac:dyDescent="0.3">
      <c r="A39" s="13">
        <v>452500000</v>
      </c>
      <c r="B39" s="51"/>
      <c r="C39" s="81" t="s">
        <v>53</v>
      </c>
      <c r="D39" s="81"/>
      <c r="E39" s="20">
        <f>26161.86+18654.02+8908.37+8633.31+9540.54</f>
        <v>71898.100000000006</v>
      </c>
      <c r="F39" s="82"/>
      <c r="G39" s="83"/>
      <c r="H39" s="83"/>
      <c r="I39" s="84"/>
    </row>
    <row r="40" spans="1:9" s="2" customFormat="1" ht="33" customHeight="1" x14ac:dyDescent="0.3">
      <c r="A40" s="13">
        <v>452600000</v>
      </c>
      <c r="B40" s="51"/>
      <c r="C40" s="81" t="s">
        <v>54</v>
      </c>
      <c r="D40" s="81"/>
      <c r="E40" s="20">
        <f>4885.25+36738.56+20753.92+9839.54+7331.76+7324.79+6006.44+1958.88</f>
        <v>94839.139999999985</v>
      </c>
      <c r="F40" s="86"/>
      <c r="G40" s="87"/>
      <c r="H40" s="87"/>
      <c r="I40" s="88"/>
    </row>
    <row r="41" spans="1:9" s="2" customFormat="1" ht="33" customHeight="1" x14ac:dyDescent="0.3">
      <c r="A41" s="13">
        <v>454200000</v>
      </c>
      <c r="B41" s="51"/>
      <c r="C41" s="81" t="s">
        <v>63</v>
      </c>
      <c r="D41" s="81"/>
      <c r="E41" s="20">
        <f>10002.83+4947</f>
        <v>14949.83</v>
      </c>
      <c r="F41" s="86"/>
      <c r="G41" s="87"/>
      <c r="H41" s="87"/>
      <c r="I41" s="88"/>
    </row>
    <row r="42" spans="1:9" s="2" customFormat="1" ht="33" customHeight="1" x14ac:dyDescent="0.3">
      <c r="A42" s="13">
        <v>452700000</v>
      </c>
      <c r="B42" s="51"/>
      <c r="C42" s="81" t="s">
        <v>55</v>
      </c>
      <c r="D42" s="81"/>
      <c r="E42" s="20">
        <f>28932.78+253969.5+150464.34+121766.8+114252.5+25703.96+23143.95+18104.61</f>
        <v>736338.44</v>
      </c>
      <c r="F42" s="86"/>
      <c r="G42" s="87"/>
      <c r="H42" s="87"/>
      <c r="I42" s="88"/>
    </row>
    <row r="43" spans="1:9" s="2" customFormat="1" ht="33" customHeight="1" x14ac:dyDescent="0.3">
      <c r="A43" s="13">
        <v>456700000</v>
      </c>
      <c r="B43" s="51"/>
      <c r="C43" s="81" t="s">
        <v>11</v>
      </c>
      <c r="D43" s="81"/>
      <c r="E43" s="20">
        <f>20836.92+124558.44+65094.22+60558.47+11560.39+11746.6+10530.45+11037.84</f>
        <v>315923.33</v>
      </c>
      <c r="F43" s="86"/>
      <c r="G43" s="87"/>
      <c r="H43" s="87"/>
      <c r="I43" s="88"/>
    </row>
    <row r="44" spans="1:9" s="2" customFormat="1" ht="33" customHeight="1" x14ac:dyDescent="0.3">
      <c r="A44" s="13">
        <v>455200000</v>
      </c>
      <c r="B44" s="51"/>
      <c r="C44" s="81" t="s">
        <v>69</v>
      </c>
      <c r="D44" s="81"/>
      <c r="E44" s="20">
        <f>14120.34+56478.02+24995.17+21510.29+18579.84+11213.67+9508.7+5133.95</f>
        <v>161539.98000000004</v>
      </c>
      <c r="F44" s="86"/>
      <c r="G44" s="87"/>
      <c r="H44" s="87"/>
      <c r="I44" s="88"/>
    </row>
    <row r="45" spans="1:9" s="4" customFormat="1" ht="33" customHeight="1" x14ac:dyDescent="0.3">
      <c r="A45" s="85" t="s">
        <v>80</v>
      </c>
      <c r="B45" s="85"/>
      <c r="C45" s="85"/>
      <c r="D45" s="85"/>
      <c r="E45" s="19">
        <f>SUM(E25:E44)</f>
        <v>11633315.950000001</v>
      </c>
      <c r="F45" s="86">
        <f>SUM(F25:G44)</f>
        <v>0</v>
      </c>
      <c r="G45" s="87"/>
      <c r="H45" s="87">
        <f>SUM(H25:I44)</f>
        <v>0</v>
      </c>
      <c r="I45" s="88"/>
    </row>
    <row r="46" spans="1:9" ht="33.75" customHeight="1" x14ac:dyDescent="0.3">
      <c r="A46" s="49" t="s">
        <v>101</v>
      </c>
      <c r="B46" s="53">
        <v>9150</v>
      </c>
      <c r="C46" s="109" t="s">
        <v>102</v>
      </c>
      <c r="D46" s="110"/>
      <c r="E46" s="22">
        <f>E47+E52+E56</f>
        <v>100000000</v>
      </c>
      <c r="F46" s="98"/>
      <c r="G46" s="99"/>
      <c r="H46" s="99"/>
      <c r="I46" s="100"/>
    </row>
    <row r="47" spans="1:9" s="8" customFormat="1" ht="33" customHeight="1" x14ac:dyDescent="0.3">
      <c r="A47" s="14">
        <v>410000000</v>
      </c>
      <c r="B47" s="49"/>
      <c r="C47" s="106" t="s">
        <v>0</v>
      </c>
      <c r="D47" s="106"/>
      <c r="E47" s="22">
        <f>100000000-20000000-22000000-1050000-7000000-10000000</f>
        <v>39950000</v>
      </c>
      <c r="F47" s="98"/>
      <c r="G47" s="99"/>
      <c r="H47" s="99"/>
      <c r="I47" s="100"/>
    </row>
    <row r="48" spans="1:9" s="8" customFormat="1" ht="33" customHeight="1" x14ac:dyDescent="0.3">
      <c r="A48" s="13">
        <v>457810000</v>
      </c>
      <c r="B48" s="51"/>
      <c r="C48" s="81" t="s">
        <v>19</v>
      </c>
      <c r="D48" s="81"/>
      <c r="E48" s="23">
        <v>20000000</v>
      </c>
      <c r="F48" s="98"/>
      <c r="G48" s="99"/>
      <c r="H48" s="99"/>
      <c r="I48" s="100"/>
    </row>
    <row r="49" spans="1:9" s="8" customFormat="1" ht="33" customHeight="1" x14ac:dyDescent="0.3">
      <c r="A49" s="13">
        <v>458100000</v>
      </c>
      <c r="B49" s="51"/>
      <c r="C49" s="81" t="s">
        <v>21</v>
      </c>
      <c r="D49" s="81"/>
      <c r="E49" s="23">
        <f>15000000</f>
        <v>15000000</v>
      </c>
      <c r="F49" s="98"/>
      <c r="G49" s="99"/>
      <c r="H49" s="99"/>
      <c r="I49" s="100"/>
    </row>
    <row r="50" spans="1:9" ht="33" customHeight="1" x14ac:dyDescent="0.3">
      <c r="A50" s="13">
        <v>458400000</v>
      </c>
      <c r="B50" s="51"/>
      <c r="C50" s="81" t="s">
        <v>24</v>
      </c>
      <c r="D50" s="81"/>
      <c r="E50" s="23">
        <f>10000000</f>
        <v>10000000</v>
      </c>
      <c r="F50" s="86"/>
      <c r="G50" s="87"/>
      <c r="H50" s="87"/>
      <c r="I50" s="88"/>
    </row>
    <row r="51" spans="1:9" ht="33" customHeight="1" x14ac:dyDescent="0.3">
      <c r="A51" s="13">
        <v>456200000</v>
      </c>
      <c r="B51" s="51"/>
      <c r="C51" s="81" t="s">
        <v>32</v>
      </c>
      <c r="D51" s="81"/>
      <c r="E51" s="20">
        <f>7000000</f>
        <v>7000000</v>
      </c>
      <c r="F51" s="82"/>
      <c r="G51" s="83"/>
      <c r="H51" s="83"/>
      <c r="I51" s="84"/>
    </row>
    <row r="52" spans="1:9" s="8" customFormat="1" ht="33" customHeight="1" x14ac:dyDescent="0.3">
      <c r="A52" s="85" t="s">
        <v>97</v>
      </c>
      <c r="B52" s="85"/>
      <c r="C52" s="85"/>
      <c r="D52" s="85"/>
      <c r="E52" s="19">
        <f>SUM(E48:E51)</f>
        <v>52000000</v>
      </c>
      <c r="F52" s="98"/>
      <c r="G52" s="99"/>
      <c r="H52" s="99"/>
      <c r="I52" s="100"/>
    </row>
    <row r="53" spans="1:9" ht="33" customHeight="1" x14ac:dyDescent="0.3">
      <c r="A53" s="13">
        <v>455700000</v>
      </c>
      <c r="B53" s="51"/>
      <c r="C53" s="81" t="s">
        <v>74</v>
      </c>
      <c r="D53" s="81"/>
      <c r="E53" s="20">
        <f>1050000</f>
        <v>1050000</v>
      </c>
      <c r="F53" s="82"/>
      <c r="G53" s="83"/>
      <c r="H53" s="83"/>
      <c r="I53" s="84"/>
    </row>
    <row r="54" spans="1:9" s="8" customFormat="1" ht="33" customHeight="1" x14ac:dyDescent="0.3">
      <c r="A54" s="13">
        <v>451600000</v>
      </c>
      <c r="B54" s="51"/>
      <c r="C54" s="81" t="s">
        <v>46</v>
      </c>
      <c r="D54" s="81"/>
      <c r="E54" s="30">
        <f>2000000</f>
        <v>2000000</v>
      </c>
      <c r="F54" s="98"/>
      <c r="G54" s="99"/>
      <c r="H54" s="99"/>
      <c r="I54" s="100"/>
    </row>
    <row r="55" spans="1:9" s="8" customFormat="1" ht="33" customHeight="1" x14ac:dyDescent="0.3">
      <c r="A55" s="13">
        <v>454000000</v>
      </c>
      <c r="B55" s="51"/>
      <c r="C55" s="81" t="s">
        <v>62</v>
      </c>
      <c r="D55" s="81"/>
      <c r="E55" s="30">
        <f>5000000</f>
        <v>5000000</v>
      </c>
      <c r="F55" s="98"/>
      <c r="G55" s="99"/>
      <c r="H55" s="99"/>
      <c r="I55" s="100"/>
    </row>
    <row r="56" spans="1:9" s="8" customFormat="1" ht="33" customHeight="1" x14ac:dyDescent="0.3">
      <c r="A56" s="85" t="s">
        <v>80</v>
      </c>
      <c r="B56" s="85"/>
      <c r="C56" s="85"/>
      <c r="D56" s="85"/>
      <c r="E56" s="19">
        <f>SUM(E53:E55)</f>
        <v>8050000</v>
      </c>
      <c r="F56" s="137"/>
      <c r="G56" s="137"/>
      <c r="H56" s="137"/>
      <c r="I56" s="137"/>
    </row>
    <row r="57" spans="1:9" s="8" customFormat="1" ht="268.5" customHeight="1" x14ac:dyDescent="0.3">
      <c r="A57" s="45" t="s">
        <v>287</v>
      </c>
      <c r="B57" s="46">
        <v>9241</v>
      </c>
      <c r="C57" s="96" t="s">
        <v>280</v>
      </c>
      <c r="D57" s="97"/>
      <c r="E57" s="31">
        <f>E58+E66+E73</f>
        <v>110362734.00000001</v>
      </c>
      <c r="F57" s="93" t="s">
        <v>202</v>
      </c>
      <c r="G57" s="94"/>
      <c r="H57" s="94"/>
      <c r="I57" s="95"/>
    </row>
    <row r="58" spans="1:9" s="8" customFormat="1" ht="27.75" customHeight="1" x14ac:dyDescent="0.3">
      <c r="A58" s="14">
        <v>410000000</v>
      </c>
      <c r="B58" s="49"/>
      <c r="C58" s="106" t="s">
        <v>0</v>
      </c>
      <c r="D58" s="106"/>
      <c r="E58" s="22">
        <f>F58</f>
        <v>21.42</v>
      </c>
      <c r="F58" s="93">
        <f>21.42</f>
        <v>21.42</v>
      </c>
      <c r="G58" s="94"/>
      <c r="H58" s="94"/>
      <c r="I58" s="95"/>
    </row>
    <row r="59" spans="1:9" s="8" customFormat="1" ht="33" customHeight="1" x14ac:dyDescent="0.3">
      <c r="A59" s="13">
        <v>457400000</v>
      </c>
      <c r="B59" s="51"/>
      <c r="C59" s="81" t="s">
        <v>15</v>
      </c>
      <c r="D59" s="81"/>
      <c r="E59" s="23">
        <f t="shared" ref="E59:E66" si="0">F59</f>
        <v>2668144.66</v>
      </c>
      <c r="F59" s="98">
        <f>2668144.66</f>
        <v>2668144.66</v>
      </c>
      <c r="G59" s="99"/>
      <c r="H59" s="99"/>
      <c r="I59" s="100"/>
    </row>
    <row r="60" spans="1:9" ht="33" customHeight="1" x14ac:dyDescent="0.3">
      <c r="A60" s="13">
        <v>457600000</v>
      </c>
      <c r="B60" s="51"/>
      <c r="C60" s="81" t="s">
        <v>17</v>
      </c>
      <c r="D60" s="81"/>
      <c r="E60" s="23">
        <f t="shared" si="0"/>
        <v>57461304.57</v>
      </c>
      <c r="F60" s="98">
        <f>57461304.57</f>
        <v>57461304.57</v>
      </c>
      <c r="G60" s="99"/>
      <c r="H60" s="99"/>
      <c r="I60" s="100"/>
    </row>
    <row r="61" spans="1:9" ht="33" customHeight="1" x14ac:dyDescent="0.3">
      <c r="A61" s="13">
        <v>457700000</v>
      </c>
      <c r="B61" s="51"/>
      <c r="C61" s="81" t="s">
        <v>18</v>
      </c>
      <c r="D61" s="81"/>
      <c r="E61" s="23">
        <f t="shared" si="0"/>
        <v>2017670.42</v>
      </c>
      <c r="F61" s="98">
        <f>2017670.42</f>
        <v>2017670.42</v>
      </c>
      <c r="G61" s="99"/>
      <c r="H61" s="99"/>
      <c r="I61" s="100"/>
    </row>
    <row r="62" spans="1:9" ht="33" customHeight="1" x14ac:dyDescent="0.3">
      <c r="A62" s="13">
        <v>457100000</v>
      </c>
      <c r="B62" s="51"/>
      <c r="C62" s="81" t="s">
        <v>125</v>
      </c>
      <c r="D62" s="81"/>
      <c r="E62" s="23">
        <f t="shared" si="0"/>
        <v>3726098.36</v>
      </c>
      <c r="F62" s="98">
        <f>3726098.36</f>
        <v>3726098.36</v>
      </c>
      <c r="G62" s="99"/>
      <c r="H62" s="99"/>
      <c r="I62" s="100"/>
    </row>
    <row r="63" spans="1:9" ht="33" customHeight="1" x14ac:dyDescent="0.3">
      <c r="A63" s="13">
        <v>457810000</v>
      </c>
      <c r="B63" s="51"/>
      <c r="C63" s="81" t="s">
        <v>19</v>
      </c>
      <c r="D63" s="81"/>
      <c r="E63" s="23">
        <f t="shared" si="0"/>
        <v>8178114.6500000004</v>
      </c>
      <c r="F63" s="98">
        <f>8178114.65</f>
        <v>8178114.6500000004</v>
      </c>
      <c r="G63" s="99"/>
      <c r="H63" s="99"/>
      <c r="I63" s="100"/>
    </row>
    <row r="64" spans="1:9" ht="33" customHeight="1" x14ac:dyDescent="0.3">
      <c r="A64" s="13">
        <v>458200000</v>
      </c>
      <c r="B64" s="51"/>
      <c r="C64" s="81" t="s">
        <v>22</v>
      </c>
      <c r="D64" s="81"/>
      <c r="E64" s="23">
        <f t="shared" ref="E64" si="1">F64+H64</f>
        <v>4593804.45</v>
      </c>
      <c r="F64" s="98">
        <f>4593804.45</f>
        <v>4593804.45</v>
      </c>
      <c r="G64" s="99"/>
      <c r="H64" s="99"/>
      <c r="I64" s="100"/>
    </row>
    <row r="65" spans="1:9" ht="33" customHeight="1" x14ac:dyDescent="0.3">
      <c r="A65" s="13">
        <v>458400000</v>
      </c>
      <c r="B65" s="51"/>
      <c r="C65" s="81" t="s">
        <v>24</v>
      </c>
      <c r="D65" s="81"/>
      <c r="E65" s="23">
        <f t="shared" si="0"/>
        <v>11143132.619999999</v>
      </c>
      <c r="F65" s="98">
        <f>11143132.62</f>
        <v>11143132.619999999</v>
      </c>
      <c r="G65" s="99"/>
      <c r="H65" s="99"/>
      <c r="I65" s="100"/>
    </row>
    <row r="66" spans="1:9" s="8" customFormat="1" ht="33" customHeight="1" x14ac:dyDescent="0.3">
      <c r="A66" s="85" t="s">
        <v>97</v>
      </c>
      <c r="B66" s="85"/>
      <c r="C66" s="85"/>
      <c r="D66" s="85"/>
      <c r="E66" s="22">
        <f t="shared" si="0"/>
        <v>89788269.730000019</v>
      </c>
      <c r="F66" s="93">
        <f>SUM(F59:I65)</f>
        <v>89788269.730000019</v>
      </c>
      <c r="G66" s="94"/>
      <c r="H66" s="94"/>
      <c r="I66" s="95"/>
    </row>
    <row r="67" spans="1:9" ht="33" customHeight="1" x14ac:dyDescent="0.3">
      <c r="A67" s="13">
        <v>450100000</v>
      </c>
      <c r="B67" s="51"/>
      <c r="C67" s="81" t="s">
        <v>33</v>
      </c>
      <c r="D67" s="81"/>
      <c r="E67" s="20">
        <f>F67</f>
        <v>1844603.14</v>
      </c>
      <c r="F67" s="98">
        <f>1844603.14</f>
        <v>1844603.14</v>
      </c>
      <c r="G67" s="99"/>
      <c r="H67" s="99"/>
      <c r="I67" s="100"/>
    </row>
    <row r="68" spans="1:9" ht="33" customHeight="1" x14ac:dyDescent="0.3">
      <c r="A68" s="13">
        <v>451900000</v>
      </c>
      <c r="B68" s="51"/>
      <c r="C68" s="81" t="s">
        <v>47</v>
      </c>
      <c r="D68" s="81"/>
      <c r="E68" s="20">
        <f t="shared" ref="E68:E73" si="2">F68</f>
        <v>5148547.21</v>
      </c>
      <c r="F68" s="98">
        <f>5148547.21</f>
        <v>5148547.21</v>
      </c>
      <c r="G68" s="99"/>
      <c r="H68" s="99"/>
      <c r="I68" s="100"/>
    </row>
    <row r="69" spans="1:9" s="8" customFormat="1" ht="33" customHeight="1" x14ac:dyDescent="0.3">
      <c r="A69" s="13">
        <v>450300000</v>
      </c>
      <c r="B69" s="51"/>
      <c r="C69" s="81" t="s">
        <v>36</v>
      </c>
      <c r="D69" s="81"/>
      <c r="E69" s="20">
        <f t="shared" si="2"/>
        <v>1561893.5</v>
      </c>
      <c r="F69" s="98">
        <f>1561893.5</f>
        <v>1561893.5</v>
      </c>
      <c r="G69" s="99"/>
      <c r="H69" s="99"/>
      <c r="I69" s="100"/>
    </row>
    <row r="70" spans="1:9" ht="33" customHeight="1" x14ac:dyDescent="0.3">
      <c r="A70" s="13">
        <v>452100000</v>
      </c>
      <c r="B70" s="51"/>
      <c r="C70" s="81" t="s">
        <v>49</v>
      </c>
      <c r="D70" s="81"/>
      <c r="E70" s="20">
        <f t="shared" si="2"/>
        <v>2340474.58</v>
      </c>
      <c r="F70" s="98">
        <f>2340474.58</f>
        <v>2340474.58</v>
      </c>
      <c r="G70" s="99"/>
      <c r="H70" s="99"/>
      <c r="I70" s="100"/>
    </row>
    <row r="71" spans="1:9" s="2" customFormat="1" ht="33" customHeight="1" x14ac:dyDescent="0.3">
      <c r="A71" s="13">
        <v>456800000</v>
      </c>
      <c r="B71" s="51"/>
      <c r="C71" s="81" t="s">
        <v>12</v>
      </c>
      <c r="D71" s="81"/>
      <c r="E71" s="20">
        <f t="shared" si="2"/>
        <v>5562015.8499999996</v>
      </c>
      <c r="F71" s="98">
        <f>5562015.85</f>
        <v>5562015.8499999996</v>
      </c>
      <c r="G71" s="99"/>
      <c r="H71" s="99"/>
      <c r="I71" s="100"/>
    </row>
    <row r="72" spans="1:9" s="2" customFormat="1" ht="33" customHeight="1" x14ac:dyDescent="0.3">
      <c r="A72" s="13">
        <v>455900000</v>
      </c>
      <c r="B72" s="51"/>
      <c r="C72" s="81" t="s">
        <v>76</v>
      </c>
      <c r="D72" s="81"/>
      <c r="E72" s="20">
        <f t="shared" si="2"/>
        <v>4116908.57</v>
      </c>
      <c r="F72" s="98">
        <f>4116908.57</f>
        <v>4116908.57</v>
      </c>
      <c r="G72" s="99"/>
      <c r="H72" s="99"/>
      <c r="I72" s="100"/>
    </row>
    <row r="73" spans="1:9" s="8" customFormat="1" ht="33" customHeight="1" x14ac:dyDescent="0.3">
      <c r="A73" s="85" t="s">
        <v>80</v>
      </c>
      <c r="B73" s="85"/>
      <c r="C73" s="85"/>
      <c r="D73" s="85"/>
      <c r="E73" s="19">
        <f t="shared" si="2"/>
        <v>20574442.849999998</v>
      </c>
      <c r="F73" s="93">
        <f>SUM(F67:I72)</f>
        <v>20574442.849999998</v>
      </c>
      <c r="G73" s="94"/>
      <c r="H73" s="94"/>
      <c r="I73" s="95"/>
    </row>
    <row r="74" spans="1:9" s="8" customFormat="1" ht="251.25" customHeight="1" x14ac:dyDescent="0.3">
      <c r="A74" s="28" t="s">
        <v>276</v>
      </c>
      <c r="B74" s="46" t="s">
        <v>277</v>
      </c>
      <c r="C74" s="96" t="s">
        <v>278</v>
      </c>
      <c r="D74" s="97"/>
      <c r="E74" s="31">
        <f>E75+E83+E91</f>
        <v>408610395</v>
      </c>
      <c r="F74" s="93" t="s">
        <v>202</v>
      </c>
      <c r="G74" s="94"/>
      <c r="H74" s="94"/>
      <c r="I74" s="95"/>
    </row>
    <row r="75" spans="1:9" s="8" customFormat="1" ht="33" customHeight="1" x14ac:dyDescent="0.3">
      <c r="A75" s="14">
        <v>410000000</v>
      </c>
      <c r="B75" s="49"/>
      <c r="C75" s="106" t="s">
        <v>0</v>
      </c>
      <c r="D75" s="106"/>
      <c r="E75" s="22">
        <f>F75</f>
        <v>89.83</v>
      </c>
      <c r="F75" s="93">
        <f>89.83</f>
        <v>89.83</v>
      </c>
      <c r="G75" s="94"/>
      <c r="H75" s="94"/>
      <c r="I75" s="95"/>
    </row>
    <row r="76" spans="1:9" s="8" customFormat="1" ht="33" customHeight="1" x14ac:dyDescent="0.3">
      <c r="A76" s="13">
        <v>457400000</v>
      </c>
      <c r="B76" s="51"/>
      <c r="C76" s="81" t="s">
        <v>15</v>
      </c>
      <c r="D76" s="81"/>
      <c r="E76" s="23">
        <f t="shared" ref="E76:E83" si="3">F76</f>
        <v>2295028.4700000002</v>
      </c>
      <c r="F76" s="98">
        <f>2295028.47</f>
        <v>2295028.4700000002</v>
      </c>
      <c r="G76" s="99"/>
      <c r="H76" s="99"/>
      <c r="I76" s="100"/>
    </row>
    <row r="77" spans="1:9" ht="33" customHeight="1" x14ac:dyDescent="0.3">
      <c r="A77" s="13">
        <v>457600000</v>
      </c>
      <c r="B77" s="51"/>
      <c r="C77" s="81" t="s">
        <v>17</v>
      </c>
      <c r="D77" s="81"/>
      <c r="E77" s="23">
        <f t="shared" si="3"/>
        <v>336231199.32999998</v>
      </c>
      <c r="F77" s="98">
        <f>336231199.33</f>
        <v>336231199.32999998</v>
      </c>
      <c r="G77" s="99"/>
      <c r="H77" s="99"/>
      <c r="I77" s="100"/>
    </row>
    <row r="78" spans="1:9" ht="33" customHeight="1" x14ac:dyDescent="0.3">
      <c r="A78" s="13">
        <v>457700000</v>
      </c>
      <c r="B78" s="51"/>
      <c r="C78" s="81" t="s">
        <v>18</v>
      </c>
      <c r="D78" s="81"/>
      <c r="E78" s="23">
        <f t="shared" si="3"/>
        <v>1577168.15</v>
      </c>
      <c r="F78" s="98">
        <f>1577168.15</f>
        <v>1577168.15</v>
      </c>
      <c r="G78" s="99"/>
      <c r="H78" s="99"/>
      <c r="I78" s="100"/>
    </row>
    <row r="79" spans="1:9" ht="33" customHeight="1" x14ac:dyDescent="0.3">
      <c r="A79" s="13">
        <v>457100000</v>
      </c>
      <c r="B79" s="51"/>
      <c r="C79" s="81" t="s">
        <v>125</v>
      </c>
      <c r="D79" s="81"/>
      <c r="E79" s="23">
        <f t="shared" si="3"/>
        <v>20403213</v>
      </c>
      <c r="F79" s="98">
        <f>20403213</f>
        <v>20403213</v>
      </c>
      <c r="G79" s="99"/>
      <c r="H79" s="99"/>
      <c r="I79" s="100"/>
    </row>
    <row r="80" spans="1:9" ht="33" customHeight="1" x14ac:dyDescent="0.3">
      <c r="A80" s="13">
        <v>457810000</v>
      </c>
      <c r="B80" s="51"/>
      <c r="C80" s="81" t="s">
        <v>19</v>
      </c>
      <c r="D80" s="81"/>
      <c r="E80" s="23">
        <f t="shared" si="3"/>
        <v>20857005.16</v>
      </c>
      <c r="F80" s="98">
        <f>20857005.16</f>
        <v>20857005.16</v>
      </c>
      <c r="G80" s="99"/>
      <c r="H80" s="99"/>
      <c r="I80" s="100"/>
    </row>
    <row r="81" spans="1:9" ht="33" customHeight="1" x14ac:dyDescent="0.3">
      <c r="A81" s="13">
        <v>458400000</v>
      </c>
      <c r="B81" s="51"/>
      <c r="C81" s="81" t="s">
        <v>24</v>
      </c>
      <c r="D81" s="81"/>
      <c r="E81" s="23">
        <f t="shared" si="3"/>
        <v>4081305.6000000001</v>
      </c>
      <c r="F81" s="98">
        <f>4081305.6</f>
        <v>4081305.6000000001</v>
      </c>
      <c r="G81" s="99"/>
      <c r="H81" s="99"/>
      <c r="I81" s="100"/>
    </row>
    <row r="82" spans="1:9" ht="31.5" customHeight="1" x14ac:dyDescent="0.3">
      <c r="A82" s="13">
        <v>458900000</v>
      </c>
      <c r="B82" s="51"/>
      <c r="C82" s="81" t="s">
        <v>29</v>
      </c>
      <c r="D82" s="81"/>
      <c r="E82" s="23">
        <f t="shared" si="3"/>
        <v>6238214.2400000002</v>
      </c>
      <c r="F82" s="98">
        <f>6238214.24</f>
        <v>6238214.2400000002</v>
      </c>
      <c r="G82" s="99"/>
      <c r="H82" s="99"/>
      <c r="I82" s="100"/>
    </row>
    <row r="83" spans="1:9" s="8" customFormat="1" ht="33" customHeight="1" x14ac:dyDescent="0.3">
      <c r="A83" s="85" t="s">
        <v>97</v>
      </c>
      <c r="B83" s="85"/>
      <c r="C83" s="85"/>
      <c r="D83" s="85"/>
      <c r="E83" s="22">
        <f t="shared" si="3"/>
        <v>391683133.95000005</v>
      </c>
      <c r="F83" s="93">
        <f>SUM(F76:I82)</f>
        <v>391683133.95000005</v>
      </c>
      <c r="G83" s="94"/>
      <c r="H83" s="94"/>
      <c r="I83" s="95"/>
    </row>
    <row r="84" spans="1:9" ht="33" customHeight="1" x14ac:dyDescent="0.3">
      <c r="A84" s="13">
        <v>450200000</v>
      </c>
      <c r="B84" s="51"/>
      <c r="C84" s="81" t="s">
        <v>34</v>
      </c>
      <c r="D84" s="81"/>
      <c r="E84" s="20">
        <f>F84</f>
        <v>3512444.36</v>
      </c>
      <c r="F84" s="98">
        <f>3512444.36</f>
        <v>3512444.36</v>
      </c>
      <c r="G84" s="99"/>
      <c r="H84" s="99"/>
      <c r="I84" s="100"/>
    </row>
    <row r="85" spans="1:9" ht="33" customHeight="1" x14ac:dyDescent="0.3">
      <c r="A85" s="13">
        <v>454700000</v>
      </c>
      <c r="B85" s="51"/>
      <c r="C85" s="81" t="s">
        <v>66</v>
      </c>
      <c r="D85" s="81"/>
      <c r="E85" s="20">
        <f t="shared" ref="E85:E91" si="4">F85</f>
        <v>1577206.19</v>
      </c>
      <c r="F85" s="98">
        <f>1577206.19</f>
        <v>1577206.19</v>
      </c>
      <c r="G85" s="99"/>
      <c r="H85" s="99"/>
      <c r="I85" s="100"/>
    </row>
    <row r="86" spans="1:9" s="8" customFormat="1" ht="33" customHeight="1" x14ac:dyDescent="0.3">
      <c r="A86" s="13">
        <v>457900000</v>
      </c>
      <c r="B86" s="51"/>
      <c r="C86" s="81" t="s">
        <v>20</v>
      </c>
      <c r="D86" s="81"/>
      <c r="E86" s="20">
        <f t="shared" si="4"/>
        <v>1861072.03</v>
      </c>
      <c r="F86" s="98">
        <f>1861072.03</f>
        <v>1861072.03</v>
      </c>
      <c r="G86" s="99"/>
      <c r="H86" s="99"/>
      <c r="I86" s="100"/>
    </row>
    <row r="87" spans="1:9" ht="33" customHeight="1" x14ac:dyDescent="0.3">
      <c r="A87" s="13">
        <v>455900000</v>
      </c>
      <c r="B87" s="51"/>
      <c r="C87" s="81" t="s">
        <v>76</v>
      </c>
      <c r="D87" s="81"/>
      <c r="E87" s="20">
        <f t="shared" si="4"/>
        <v>3453479.87</v>
      </c>
      <c r="F87" s="98">
        <f>3453479.87</f>
        <v>3453479.87</v>
      </c>
      <c r="G87" s="99"/>
      <c r="H87" s="99"/>
      <c r="I87" s="100"/>
    </row>
    <row r="88" spans="1:9" s="2" customFormat="1" ht="33" customHeight="1" x14ac:dyDescent="0.3">
      <c r="A88" s="13">
        <v>451400000</v>
      </c>
      <c r="B88" s="51"/>
      <c r="C88" s="81" t="s">
        <v>191</v>
      </c>
      <c r="D88" s="81"/>
      <c r="E88" s="20">
        <f t="shared" si="4"/>
        <v>2186005.23</v>
      </c>
      <c r="F88" s="98">
        <f>2186005.23</f>
        <v>2186005.23</v>
      </c>
      <c r="G88" s="99"/>
      <c r="H88" s="99"/>
      <c r="I88" s="100"/>
    </row>
    <row r="89" spans="1:9" s="2" customFormat="1" ht="33" customHeight="1" x14ac:dyDescent="0.3">
      <c r="A89" s="13">
        <v>454200000</v>
      </c>
      <c r="B89" s="51"/>
      <c r="C89" s="81" t="s">
        <v>63</v>
      </c>
      <c r="D89" s="81"/>
      <c r="E89" s="20">
        <f t="shared" si="4"/>
        <v>1996488.96</v>
      </c>
      <c r="F89" s="98">
        <f>1996488.96</f>
        <v>1996488.96</v>
      </c>
      <c r="G89" s="99"/>
      <c r="H89" s="99"/>
      <c r="I89" s="100"/>
    </row>
    <row r="90" spans="1:9" s="2" customFormat="1" ht="33" customHeight="1" x14ac:dyDescent="0.3">
      <c r="A90" s="13">
        <v>456000000</v>
      </c>
      <c r="B90" s="51"/>
      <c r="C90" s="81" t="s">
        <v>198</v>
      </c>
      <c r="D90" s="81"/>
      <c r="E90" s="20">
        <f t="shared" si="4"/>
        <v>2340474.58</v>
      </c>
      <c r="F90" s="98">
        <f>2340474.58</f>
        <v>2340474.58</v>
      </c>
      <c r="G90" s="99"/>
      <c r="H90" s="99"/>
      <c r="I90" s="100"/>
    </row>
    <row r="91" spans="1:9" s="8" customFormat="1" ht="33" customHeight="1" x14ac:dyDescent="0.3">
      <c r="A91" s="85" t="s">
        <v>80</v>
      </c>
      <c r="B91" s="85"/>
      <c r="C91" s="85"/>
      <c r="D91" s="85"/>
      <c r="E91" s="19">
        <f t="shared" si="4"/>
        <v>16927171.219999999</v>
      </c>
      <c r="F91" s="93">
        <f>SUM(F84:I90)</f>
        <v>16927171.219999999</v>
      </c>
      <c r="G91" s="94"/>
      <c r="H91" s="94"/>
      <c r="I91" s="95"/>
    </row>
    <row r="92" spans="1:9" s="8" customFormat="1" ht="214.5" customHeight="1" x14ac:dyDescent="0.3">
      <c r="A92" s="45" t="s">
        <v>286</v>
      </c>
      <c r="B92" s="46">
        <v>9243</v>
      </c>
      <c r="C92" s="96" t="s">
        <v>279</v>
      </c>
      <c r="D92" s="97"/>
      <c r="E92" s="31">
        <f>E93+E95+E97</f>
        <v>6341040.0000000009</v>
      </c>
      <c r="F92" s="93" t="s">
        <v>202</v>
      </c>
      <c r="G92" s="94"/>
      <c r="H92" s="94"/>
      <c r="I92" s="95"/>
    </row>
    <row r="93" spans="1:9" s="8" customFormat="1" ht="33" customHeight="1" x14ac:dyDescent="0.3">
      <c r="A93" s="14">
        <v>410000000</v>
      </c>
      <c r="B93" s="49"/>
      <c r="C93" s="106" t="s">
        <v>0</v>
      </c>
      <c r="D93" s="106"/>
      <c r="E93" s="22">
        <f>F93</f>
        <v>81001.5</v>
      </c>
      <c r="F93" s="93">
        <f>1.37+81000.13</f>
        <v>81001.5</v>
      </c>
      <c r="G93" s="94"/>
      <c r="H93" s="94"/>
      <c r="I93" s="95"/>
    </row>
    <row r="94" spans="1:9" s="8" customFormat="1" ht="33" customHeight="1" x14ac:dyDescent="0.3">
      <c r="A94" s="13">
        <v>457600000</v>
      </c>
      <c r="B94" s="51"/>
      <c r="C94" s="81" t="s">
        <v>17</v>
      </c>
      <c r="D94" s="81"/>
      <c r="E94" s="23">
        <f t="shared" ref="E94:E97" si="5">F94</f>
        <v>4378543.3000000007</v>
      </c>
      <c r="F94" s="98">
        <f>1678535.6+2700007.7</f>
        <v>4378543.3000000007</v>
      </c>
      <c r="G94" s="99"/>
      <c r="H94" s="99"/>
      <c r="I94" s="100"/>
    </row>
    <row r="95" spans="1:9" ht="33" customHeight="1" x14ac:dyDescent="0.3">
      <c r="A95" s="85" t="s">
        <v>97</v>
      </c>
      <c r="B95" s="85"/>
      <c r="C95" s="85"/>
      <c r="D95" s="85"/>
      <c r="E95" s="22">
        <f t="shared" si="5"/>
        <v>4378543.3000000007</v>
      </c>
      <c r="F95" s="93">
        <f>SUM(F94:I94)</f>
        <v>4378543.3000000007</v>
      </c>
      <c r="G95" s="94"/>
      <c r="H95" s="94"/>
      <c r="I95" s="95"/>
    </row>
    <row r="96" spans="1:9" ht="33" customHeight="1" x14ac:dyDescent="0.3">
      <c r="A96" s="13">
        <v>454300000</v>
      </c>
      <c r="B96" s="51"/>
      <c r="C96" s="81" t="s">
        <v>64</v>
      </c>
      <c r="D96" s="81"/>
      <c r="E96" s="23">
        <f t="shared" si="5"/>
        <v>1881495.2</v>
      </c>
      <c r="F96" s="98">
        <f>1881495.2</f>
        <v>1881495.2</v>
      </c>
      <c r="G96" s="99"/>
      <c r="H96" s="99"/>
      <c r="I96" s="100"/>
    </row>
    <row r="97" spans="1:9" ht="33" customHeight="1" x14ac:dyDescent="0.3">
      <c r="A97" s="85" t="s">
        <v>80</v>
      </c>
      <c r="B97" s="85"/>
      <c r="C97" s="85"/>
      <c r="D97" s="85"/>
      <c r="E97" s="22">
        <f t="shared" si="5"/>
        <v>1881495.2</v>
      </c>
      <c r="F97" s="93">
        <f>SUM(F96)</f>
        <v>1881495.2</v>
      </c>
      <c r="G97" s="94"/>
      <c r="H97" s="94"/>
      <c r="I97" s="95"/>
    </row>
    <row r="98" spans="1:9" ht="105" customHeight="1" x14ac:dyDescent="0.3">
      <c r="A98" s="55" t="s">
        <v>89</v>
      </c>
      <c r="B98" s="54">
        <v>9270</v>
      </c>
      <c r="C98" s="106" t="s">
        <v>96</v>
      </c>
      <c r="D98" s="106"/>
      <c r="E98" s="56">
        <f>E99+E102+E108</f>
        <v>96207360</v>
      </c>
      <c r="F98" s="138" t="s">
        <v>105</v>
      </c>
      <c r="G98" s="138"/>
      <c r="H98" s="138" t="s">
        <v>202</v>
      </c>
      <c r="I98" s="138"/>
    </row>
    <row r="99" spans="1:9" s="8" customFormat="1" ht="33" customHeight="1" x14ac:dyDescent="0.3">
      <c r="A99" s="14">
        <v>410000000</v>
      </c>
      <c r="B99" s="55"/>
      <c r="C99" s="106" t="s">
        <v>0</v>
      </c>
      <c r="D99" s="106"/>
      <c r="E99" s="22">
        <f>F99+H99</f>
        <v>91795615.040000007</v>
      </c>
      <c r="F99" s="138">
        <f>10224200-6715857.6+983303.85+1320808.79</f>
        <v>5812455.04</v>
      </c>
      <c r="G99" s="138"/>
      <c r="H99" s="138">
        <v>85983160</v>
      </c>
      <c r="I99" s="138"/>
    </row>
    <row r="100" spans="1:9" ht="33" customHeight="1" x14ac:dyDescent="0.3">
      <c r="A100" s="13">
        <v>457100000</v>
      </c>
      <c r="B100" s="57"/>
      <c r="C100" s="81" t="s">
        <v>125</v>
      </c>
      <c r="D100" s="81"/>
      <c r="E100" s="23">
        <f>F100+H100</f>
        <v>653126</v>
      </c>
      <c r="F100" s="105">
        <f>1073856-245935-174795</f>
        <v>653126</v>
      </c>
      <c r="G100" s="105"/>
      <c r="H100" s="105"/>
      <c r="I100" s="105"/>
    </row>
    <row r="101" spans="1:9" ht="33" customHeight="1" x14ac:dyDescent="0.3">
      <c r="A101" s="13">
        <v>456200000</v>
      </c>
      <c r="B101" s="57"/>
      <c r="C101" s="81" t="s">
        <v>32</v>
      </c>
      <c r="D101" s="81"/>
      <c r="E101" s="23">
        <f>F101+H101</f>
        <v>738287.1399999999</v>
      </c>
      <c r="F101" s="105">
        <f>1073856-160934.06-174634.8</f>
        <v>738287.1399999999</v>
      </c>
      <c r="G101" s="105"/>
      <c r="H101" s="105"/>
      <c r="I101" s="105"/>
    </row>
    <row r="102" spans="1:9" s="8" customFormat="1" ht="33" customHeight="1" x14ac:dyDescent="0.3">
      <c r="A102" s="85" t="s">
        <v>97</v>
      </c>
      <c r="B102" s="85"/>
      <c r="C102" s="85"/>
      <c r="D102" s="85"/>
      <c r="E102" s="19">
        <f>SUM(E100:E101)</f>
        <v>1391413.14</v>
      </c>
      <c r="F102" s="107">
        <f>SUM(F100:I101)</f>
        <v>1391413.14</v>
      </c>
      <c r="G102" s="107"/>
      <c r="H102" s="107"/>
      <c r="I102" s="107"/>
    </row>
    <row r="103" spans="1:9" ht="33" customHeight="1" x14ac:dyDescent="0.3">
      <c r="A103" s="13">
        <v>450200000</v>
      </c>
      <c r="B103" s="57"/>
      <c r="C103" s="81" t="s">
        <v>34</v>
      </c>
      <c r="D103" s="81"/>
      <c r="E103" s="23">
        <f>F103+H103</f>
        <v>523975.62000000005</v>
      </c>
      <c r="F103" s="105">
        <f>1002066-227587.2-250503.18</f>
        <v>523975.62000000005</v>
      </c>
      <c r="G103" s="105"/>
      <c r="H103" s="105"/>
      <c r="I103" s="105"/>
    </row>
    <row r="104" spans="1:9" ht="33" customHeight="1" x14ac:dyDescent="0.3">
      <c r="A104" s="13">
        <v>450500000</v>
      </c>
      <c r="B104" s="57"/>
      <c r="C104" s="81" t="s">
        <v>38</v>
      </c>
      <c r="D104" s="81"/>
      <c r="E104" s="23">
        <f t="shared" ref="E104:E107" si="6">F104+H104</f>
        <v>533313.59</v>
      </c>
      <c r="F104" s="105">
        <f>748422-215108.41</f>
        <v>533313.59</v>
      </c>
      <c r="G104" s="105"/>
      <c r="H104" s="105"/>
      <c r="I104" s="105"/>
    </row>
    <row r="105" spans="1:9" s="8" customFormat="1" ht="33" customHeight="1" x14ac:dyDescent="0.3">
      <c r="A105" s="13">
        <v>454300000</v>
      </c>
      <c r="B105" s="57"/>
      <c r="C105" s="81" t="s">
        <v>64</v>
      </c>
      <c r="D105" s="81"/>
      <c r="E105" s="23">
        <f t="shared" si="6"/>
        <v>625114.26</v>
      </c>
      <c r="F105" s="105">
        <f>958800-139289.34-194396.4</f>
        <v>625114.26</v>
      </c>
      <c r="G105" s="105"/>
      <c r="H105" s="105"/>
      <c r="I105" s="105"/>
    </row>
    <row r="106" spans="1:9" ht="33" customHeight="1" x14ac:dyDescent="0.3">
      <c r="A106" s="13">
        <v>454600000</v>
      </c>
      <c r="B106" s="57"/>
      <c r="C106" s="81" t="s">
        <v>65</v>
      </c>
      <c r="D106" s="81"/>
      <c r="E106" s="23">
        <f t="shared" si="6"/>
        <v>697025.75</v>
      </c>
      <c r="F106" s="105">
        <f>939810-70485.75-172298.5</f>
        <v>697025.75</v>
      </c>
      <c r="G106" s="105"/>
      <c r="H106" s="105"/>
      <c r="I106" s="105"/>
    </row>
    <row r="107" spans="1:9" s="8" customFormat="1" ht="33" customHeight="1" x14ac:dyDescent="0.3">
      <c r="A107" s="13">
        <v>451300000</v>
      </c>
      <c r="B107" s="57"/>
      <c r="C107" s="81" t="s">
        <v>44</v>
      </c>
      <c r="D107" s="81"/>
      <c r="E107" s="23">
        <f t="shared" si="6"/>
        <v>640902.6</v>
      </c>
      <c r="F107" s="105">
        <f>919047.6-139072.5-139072.5</f>
        <v>640902.6</v>
      </c>
      <c r="G107" s="105"/>
      <c r="H107" s="105"/>
      <c r="I107" s="105"/>
    </row>
    <row r="108" spans="1:9" s="4" customFormat="1" ht="33" customHeight="1" x14ac:dyDescent="0.3">
      <c r="A108" s="85" t="s">
        <v>80</v>
      </c>
      <c r="B108" s="85"/>
      <c r="C108" s="85"/>
      <c r="D108" s="85"/>
      <c r="E108" s="19">
        <f>SUM(E103:E107)</f>
        <v>3020331.82</v>
      </c>
      <c r="F108" s="107">
        <f>SUM(F103:I107)</f>
        <v>3020331.82</v>
      </c>
      <c r="G108" s="107"/>
      <c r="H108" s="107"/>
      <c r="I108" s="107"/>
    </row>
    <row r="109" spans="1:9" s="8" customFormat="1" ht="50.25" customHeight="1" x14ac:dyDescent="0.3">
      <c r="A109" s="118" t="s">
        <v>117</v>
      </c>
      <c r="B109" s="120">
        <v>9310</v>
      </c>
      <c r="C109" s="96" t="s">
        <v>118</v>
      </c>
      <c r="D109" s="97"/>
      <c r="E109" s="124">
        <f>E111+E125+E145</f>
        <v>96344900</v>
      </c>
      <c r="F109" s="86" t="s">
        <v>203</v>
      </c>
      <c r="G109" s="88"/>
      <c r="H109" s="86" t="s">
        <v>204</v>
      </c>
      <c r="I109" s="88"/>
    </row>
    <row r="110" spans="1:9" s="8" customFormat="1" ht="50.25" customHeight="1" x14ac:dyDescent="0.3">
      <c r="A110" s="119"/>
      <c r="B110" s="121"/>
      <c r="C110" s="122"/>
      <c r="D110" s="123"/>
      <c r="E110" s="125"/>
      <c r="F110" s="86">
        <f>F111+F125+F145</f>
        <v>77253900</v>
      </c>
      <c r="G110" s="88"/>
      <c r="H110" s="86">
        <f>H111+H125+H145</f>
        <v>19091000</v>
      </c>
      <c r="I110" s="88"/>
    </row>
    <row r="111" spans="1:9" s="8" customFormat="1" ht="33" customHeight="1" x14ac:dyDescent="0.3">
      <c r="A111" s="14">
        <v>410000000</v>
      </c>
      <c r="B111" s="49"/>
      <c r="C111" s="106" t="s">
        <v>0</v>
      </c>
      <c r="D111" s="106"/>
      <c r="E111" s="22">
        <f>F111+H111</f>
        <v>17306221</v>
      </c>
      <c r="F111" s="138">
        <f>19645013-128735-1419619-470516-141800-182444</f>
        <v>17301899</v>
      </c>
      <c r="G111" s="138"/>
      <c r="H111" s="138">
        <f>103022-98700</f>
        <v>4322</v>
      </c>
      <c r="I111" s="138"/>
    </row>
    <row r="112" spans="1:9" s="8" customFormat="1" ht="33" customHeight="1" x14ac:dyDescent="0.3">
      <c r="A112" s="13">
        <v>457400000</v>
      </c>
      <c r="B112" s="51"/>
      <c r="C112" s="81" t="s">
        <v>15</v>
      </c>
      <c r="D112" s="81"/>
      <c r="E112" s="23">
        <f>F112+H112</f>
        <v>1544824</v>
      </c>
      <c r="F112" s="105">
        <v>1544824</v>
      </c>
      <c r="G112" s="105"/>
      <c r="H112" s="105"/>
      <c r="I112" s="105"/>
    </row>
    <row r="113" spans="1:9" ht="33" customHeight="1" x14ac:dyDescent="0.3">
      <c r="A113" s="13">
        <v>457600000</v>
      </c>
      <c r="B113" s="51"/>
      <c r="C113" s="81" t="s">
        <v>17</v>
      </c>
      <c r="D113" s="81"/>
      <c r="E113" s="23">
        <f t="shared" ref="E113:E124" si="7">F113+H113</f>
        <v>26114678</v>
      </c>
      <c r="F113" s="105">
        <v>9268946</v>
      </c>
      <c r="G113" s="105"/>
      <c r="H113" s="105">
        <f>16713936+131796</f>
        <v>16845732</v>
      </c>
      <c r="I113" s="105"/>
    </row>
    <row r="114" spans="1:9" ht="33" customHeight="1" x14ac:dyDescent="0.3">
      <c r="A114" s="13">
        <v>457700000</v>
      </c>
      <c r="B114" s="51"/>
      <c r="C114" s="81" t="s">
        <v>18</v>
      </c>
      <c r="D114" s="81"/>
      <c r="E114" s="23">
        <f t="shared" si="7"/>
        <v>1802295</v>
      </c>
      <c r="F114" s="105">
        <v>1802295</v>
      </c>
      <c r="G114" s="105"/>
      <c r="H114" s="105"/>
      <c r="I114" s="105"/>
    </row>
    <row r="115" spans="1:9" ht="33" customHeight="1" x14ac:dyDescent="0.3">
      <c r="A115" s="13">
        <v>457100000</v>
      </c>
      <c r="B115" s="51"/>
      <c r="C115" s="81" t="s">
        <v>125</v>
      </c>
      <c r="D115" s="81"/>
      <c r="E115" s="23">
        <f t="shared" si="7"/>
        <v>6733095</v>
      </c>
      <c r="F115" s="105">
        <v>6179298</v>
      </c>
      <c r="G115" s="105"/>
      <c r="H115" s="105">
        <f>434522+119275</f>
        <v>553797</v>
      </c>
      <c r="I115" s="105"/>
    </row>
    <row r="116" spans="1:9" ht="33" customHeight="1" x14ac:dyDescent="0.3">
      <c r="A116" s="13">
        <v>457810000</v>
      </c>
      <c r="B116" s="51"/>
      <c r="C116" s="81" t="s">
        <v>19</v>
      </c>
      <c r="D116" s="81"/>
      <c r="E116" s="23">
        <f t="shared" si="7"/>
        <v>6581377</v>
      </c>
      <c r="F116" s="105">
        <f>3694705+1199523</f>
        <v>4894228</v>
      </c>
      <c r="G116" s="105"/>
      <c r="H116" s="105">
        <f>1960401-273252</f>
        <v>1687149</v>
      </c>
      <c r="I116" s="105"/>
    </row>
    <row r="117" spans="1:9" ht="33" customHeight="1" x14ac:dyDescent="0.3">
      <c r="A117" s="13">
        <v>456100000</v>
      </c>
      <c r="B117" s="51"/>
      <c r="C117" s="81" t="s">
        <v>31</v>
      </c>
      <c r="D117" s="81"/>
      <c r="E117" s="23">
        <f t="shared" si="7"/>
        <v>2317237</v>
      </c>
      <c r="F117" s="105">
        <v>2317237</v>
      </c>
      <c r="G117" s="105"/>
      <c r="H117" s="105"/>
      <c r="I117" s="105"/>
    </row>
    <row r="118" spans="1:9" ht="33" customHeight="1" x14ac:dyDescent="0.3">
      <c r="A118" s="13">
        <v>458100000</v>
      </c>
      <c r="B118" s="51"/>
      <c r="C118" s="81" t="s">
        <v>21</v>
      </c>
      <c r="D118" s="81"/>
      <c r="E118" s="23">
        <f t="shared" si="7"/>
        <v>2279862</v>
      </c>
      <c r="F118" s="105">
        <f>2059766+220096</f>
        <v>2279862</v>
      </c>
      <c r="G118" s="105"/>
      <c r="H118" s="105"/>
      <c r="I118" s="105"/>
    </row>
    <row r="119" spans="1:9" ht="33" customHeight="1" x14ac:dyDescent="0.3">
      <c r="A119" s="13">
        <v>458200000</v>
      </c>
      <c r="B119" s="51"/>
      <c r="C119" s="81" t="s">
        <v>22</v>
      </c>
      <c r="D119" s="81"/>
      <c r="E119" s="23">
        <f t="shared" si="7"/>
        <v>1544824</v>
      </c>
      <c r="F119" s="105">
        <v>1544824</v>
      </c>
      <c r="G119" s="105"/>
      <c r="H119" s="105"/>
      <c r="I119" s="105"/>
    </row>
    <row r="120" spans="1:9" ht="33" customHeight="1" x14ac:dyDescent="0.3">
      <c r="A120" s="13">
        <v>458400000</v>
      </c>
      <c r="B120" s="51"/>
      <c r="C120" s="81" t="s">
        <v>24</v>
      </c>
      <c r="D120" s="81"/>
      <c r="E120" s="23">
        <f t="shared" si="7"/>
        <v>2059766</v>
      </c>
      <c r="F120" s="105">
        <v>2059766</v>
      </c>
      <c r="G120" s="105"/>
      <c r="H120" s="105"/>
      <c r="I120" s="105"/>
    </row>
    <row r="121" spans="1:9" ht="33" customHeight="1" x14ac:dyDescent="0.3">
      <c r="A121" s="13">
        <v>458500000</v>
      </c>
      <c r="B121" s="51"/>
      <c r="C121" s="81" t="s">
        <v>25</v>
      </c>
      <c r="D121" s="81"/>
      <c r="E121" s="23">
        <f t="shared" si="7"/>
        <v>1287354</v>
      </c>
      <c r="F121" s="105">
        <v>1287354</v>
      </c>
      <c r="G121" s="105"/>
      <c r="H121" s="105"/>
      <c r="I121" s="105"/>
    </row>
    <row r="122" spans="1:9" ht="33" customHeight="1" x14ac:dyDescent="0.3">
      <c r="A122" s="13">
        <v>456200000</v>
      </c>
      <c r="B122" s="51"/>
      <c r="C122" s="81" t="s">
        <v>32</v>
      </c>
      <c r="D122" s="81"/>
      <c r="E122" s="23">
        <f t="shared" si="7"/>
        <v>1544824</v>
      </c>
      <c r="F122" s="105">
        <f>1416089+128735</f>
        <v>1544824</v>
      </c>
      <c r="G122" s="105"/>
      <c r="H122" s="105"/>
      <c r="I122" s="105"/>
    </row>
    <row r="123" spans="1:9" ht="31.5" customHeight="1" x14ac:dyDescent="0.3">
      <c r="A123" s="13">
        <v>458900000</v>
      </c>
      <c r="B123" s="51"/>
      <c r="C123" s="81" t="s">
        <v>29</v>
      </c>
      <c r="D123" s="81"/>
      <c r="E123" s="23">
        <f t="shared" si="7"/>
        <v>1544824</v>
      </c>
      <c r="F123" s="105">
        <v>1544824</v>
      </c>
      <c r="G123" s="105"/>
      <c r="H123" s="105"/>
      <c r="I123" s="105"/>
    </row>
    <row r="124" spans="1:9" ht="33" customHeight="1" x14ac:dyDescent="0.3">
      <c r="A124" s="13">
        <v>459100000</v>
      </c>
      <c r="B124" s="51"/>
      <c r="C124" s="81" t="s">
        <v>30</v>
      </c>
      <c r="D124" s="81"/>
      <c r="E124" s="23">
        <f t="shared" si="7"/>
        <v>1222986</v>
      </c>
      <c r="F124" s="105">
        <f>1029883+193103</f>
        <v>1222986</v>
      </c>
      <c r="G124" s="105"/>
      <c r="H124" s="105"/>
      <c r="I124" s="105"/>
    </row>
    <row r="125" spans="1:9" s="8" customFormat="1" ht="33" customHeight="1" x14ac:dyDescent="0.3">
      <c r="A125" s="85" t="s">
        <v>97</v>
      </c>
      <c r="B125" s="85"/>
      <c r="C125" s="85"/>
      <c r="D125" s="85"/>
      <c r="E125" s="19">
        <f>SUM(E112:E124)</f>
        <v>56577946</v>
      </c>
      <c r="F125" s="86">
        <f>SUM(F112:G124)</f>
        <v>37491268</v>
      </c>
      <c r="G125" s="88"/>
      <c r="H125" s="86">
        <f>SUM(H112:I124)</f>
        <v>19086678</v>
      </c>
      <c r="I125" s="88"/>
    </row>
    <row r="126" spans="1:9" s="8" customFormat="1" ht="33" customHeight="1" x14ac:dyDescent="0.3">
      <c r="A126" s="13">
        <v>450100000</v>
      </c>
      <c r="B126" s="51"/>
      <c r="C126" s="81" t="s">
        <v>33</v>
      </c>
      <c r="D126" s="81"/>
      <c r="E126" s="20">
        <f t="shared" ref="E126:E142" si="8">F126+H126</f>
        <v>1129893</v>
      </c>
      <c r="F126" s="105">
        <f>1029883+100010</f>
        <v>1129893</v>
      </c>
      <c r="G126" s="105"/>
      <c r="H126" s="105"/>
      <c r="I126" s="105"/>
    </row>
    <row r="127" spans="1:9" s="8" customFormat="1" ht="33" customHeight="1" x14ac:dyDescent="0.3">
      <c r="A127" s="13">
        <v>450500000</v>
      </c>
      <c r="B127" s="51"/>
      <c r="C127" s="81" t="s">
        <v>38</v>
      </c>
      <c r="D127" s="81"/>
      <c r="E127" s="20">
        <f t="shared" si="8"/>
        <v>708045</v>
      </c>
      <c r="F127" s="105">
        <v>708045</v>
      </c>
      <c r="G127" s="105"/>
      <c r="H127" s="105"/>
      <c r="I127" s="105"/>
    </row>
    <row r="128" spans="1:9" s="8" customFormat="1" ht="33" customHeight="1" x14ac:dyDescent="0.3">
      <c r="A128" s="13">
        <v>451900000</v>
      </c>
      <c r="B128" s="51"/>
      <c r="C128" s="81" t="s">
        <v>47</v>
      </c>
      <c r="D128" s="81"/>
      <c r="E128" s="20">
        <f t="shared" si="8"/>
        <v>772412</v>
      </c>
      <c r="F128" s="105">
        <v>772412</v>
      </c>
      <c r="G128" s="105"/>
      <c r="H128" s="105"/>
      <c r="I128" s="105"/>
    </row>
    <row r="129" spans="1:9" s="8" customFormat="1" ht="33" customHeight="1" x14ac:dyDescent="0.3">
      <c r="A129" s="13">
        <v>453600000</v>
      </c>
      <c r="B129" s="51"/>
      <c r="C129" s="81" t="s">
        <v>60</v>
      </c>
      <c r="D129" s="81"/>
      <c r="E129" s="20">
        <f t="shared" si="8"/>
        <v>1029883</v>
      </c>
      <c r="F129" s="105">
        <v>1029883</v>
      </c>
      <c r="G129" s="105"/>
      <c r="H129" s="105"/>
      <c r="I129" s="105"/>
    </row>
    <row r="130" spans="1:9" s="8" customFormat="1" ht="33" customHeight="1" x14ac:dyDescent="0.3">
      <c r="A130" s="13">
        <v>457500000</v>
      </c>
      <c r="B130" s="51"/>
      <c r="C130" s="81" t="s">
        <v>16</v>
      </c>
      <c r="D130" s="81"/>
      <c r="E130" s="20">
        <f t="shared" si="8"/>
        <v>1029883</v>
      </c>
      <c r="F130" s="105">
        <v>1029883</v>
      </c>
      <c r="G130" s="105"/>
      <c r="H130" s="105"/>
      <c r="I130" s="105"/>
    </row>
    <row r="131" spans="1:9" s="8" customFormat="1" ht="33" customHeight="1" x14ac:dyDescent="0.3">
      <c r="A131" s="13">
        <v>452100000</v>
      </c>
      <c r="B131" s="51"/>
      <c r="C131" s="81" t="s">
        <v>49</v>
      </c>
      <c r="D131" s="81"/>
      <c r="E131" s="20">
        <f t="shared" si="8"/>
        <v>1416089</v>
      </c>
      <c r="F131" s="105">
        <v>1416089</v>
      </c>
      <c r="G131" s="105"/>
      <c r="H131" s="105"/>
      <c r="I131" s="105"/>
    </row>
    <row r="132" spans="1:9" s="8" customFormat="1" ht="33" customHeight="1" x14ac:dyDescent="0.3">
      <c r="A132" s="13">
        <v>457900000</v>
      </c>
      <c r="B132" s="51"/>
      <c r="C132" s="81" t="s">
        <v>20</v>
      </c>
      <c r="D132" s="81"/>
      <c r="E132" s="20">
        <f t="shared" si="8"/>
        <v>901148</v>
      </c>
      <c r="F132" s="105">
        <v>901148</v>
      </c>
      <c r="G132" s="105"/>
      <c r="H132" s="105"/>
      <c r="I132" s="105"/>
    </row>
    <row r="133" spans="1:9" s="8" customFormat="1" ht="33" customHeight="1" x14ac:dyDescent="0.3">
      <c r="A133" s="13">
        <v>456500000</v>
      </c>
      <c r="B133" s="51"/>
      <c r="C133" s="81" t="s">
        <v>9</v>
      </c>
      <c r="D133" s="81"/>
      <c r="E133" s="20">
        <f t="shared" si="8"/>
        <v>1544824</v>
      </c>
      <c r="F133" s="105">
        <v>1544824</v>
      </c>
      <c r="G133" s="105"/>
      <c r="H133" s="105"/>
      <c r="I133" s="105"/>
    </row>
    <row r="134" spans="1:9" s="8" customFormat="1" ht="33" customHeight="1" x14ac:dyDescent="0.3">
      <c r="A134" s="13">
        <v>453700000</v>
      </c>
      <c r="B134" s="51"/>
      <c r="C134" s="81" t="s">
        <v>61</v>
      </c>
      <c r="D134" s="81"/>
      <c r="E134" s="20">
        <f t="shared" si="8"/>
        <v>1287354</v>
      </c>
      <c r="F134" s="105">
        <v>1287354</v>
      </c>
      <c r="G134" s="105"/>
      <c r="H134" s="105"/>
      <c r="I134" s="105"/>
    </row>
    <row r="135" spans="1:9" s="8" customFormat="1" ht="33" customHeight="1" x14ac:dyDescent="0.3">
      <c r="A135" s="13">
        <v>453200000</v>
      </c>
      <c r="B135" s="51"/>
      <c r="C135" s="81" t="s">
        <v>59</v>
      </c>
      <c r="D135" s="81"/>
      <c r="E135" s="20">
        <f t="shared" si="8"/>
        <v>1029883</v>
      </c>
      <c r="F135" s="105">
        <v>1029883</v>
      </c>
      <c r="G135" s="105"/>
      <c r="H135" s="105"/>
      <c r="I135" s="105"/>
    </row>
    <row r="136" spans="1:9" s="8" customFormat="1" ht="33" customHeight="1" x14ac:dyDescent="0.3">
      <c r="A136" s="13">
        <v>454300000</v>
      </c>
      <c r="B136" s="51"/>
      <c r="C136" s="81" t="s">
        <v>64</v>
      </c>
      <c r="D136" s="81"/>
      <c r="E136" s="20">
        <f t="shared" si="8"/>
        <v>1351721</v>
      </c>
      <c r="F136" s="105">
        <v>1351721</v>
      </c>
      <c r="G136" s="105"/>
      <c r="H136" s="105"/>
      <c r="I136" s="105"/>
    </row>
    <row r="137" spans="1:9" s="8" customFormat="1" ht="33" customHeight="1" x14ac:dyDescent="0.3">
      <c r="A137" s="13">
        <v>458600000</v>
      </c>
      <c r="B137" s="51"/>
      <c r="C137" s="81" t="s">
        <v>26</v>
      </c>
      <c r="D137" s="81"/>
      <c r="E137" s="20">
        <f t="shared" si="8"/>
        <v>1207286</v>
      </c>
      <c r="F137" s="105">
        <f>1029883+177403</f>
        <v>1207286</v>
      </c>
      <c r="G137" s="105"/>
      <c r="H137" s="105"/>
      <c r="I137" s="105"/>
    </row>
    <row r="138" spans="1:9" s="8" customFormat="1" ht="33" customHeight="1" x14ac:dyDescent="0.3">
      <c r="A138" s="13">
        <v>456800000</v>
      </c>
      <c r="B138" s="51"/>
      <c r="C138" s="81" t="s">
        <v>12</v>
      </c>
      <c r="D138" s="81"/>
      <c r="E138" s="20">
        <f t="shared" si="8"/>
        <v>1083592</v>
      </c>
      <c r="F138" s="105">
        <f>901148+182444</f>
        <v>1083592</v>
      </c>
      <c r="G138" s="105"/>
      <c r="H138" s="105"/>
      <c r="I138" s="105"/>
    </row>
    <row r="139" spans="1:9" s="8" customFormat="1" ht="33" customHeight="1" x14ac:dyDescent="0.3">
      <c r="A139" s="13">
        <v>452300000</v>
      </c>
      <c r="B139" s="51"/>
      <c r="C139" s="81" t="s">
        <v>51</v>
      </c>
      <c r="D139" s="81"/>
      <c r="E139" s="20">
        <f t="shared" si="8"/>
        <v>1313101</v>
      </c>
      <c r="F139" s="105">
        <v>1313101</v>
      </c>
      <c r="G139" s="105"/>
      <c r="H139" s="105"/>
      <c r="I139" s="105"/>
    </row>
    <row r="140" spans="1:9" s="8" customFormat="1" ht="33" customHeight="1" x14ac:dyDescent="0.3">
      <c r="A140" s="13">
        <v>458700000</v>
      </c>
      <c r="B140" s="51"/>
      <c r="C140" s="81" t="s">
        <v>27</v>
      </c>
      <c r="D140" s="81"/>
      <c r="E140" s="20">
        <f t="shared" si="8"/>
        <v>901148</v>
      </c>
      <c r="F140" s="105">
        <v>901148</v>
      </c>
      <c r="G140" s="105"/>
      <c r="H140" s="105"/>
      <c r="I140" s="105"/>
    </row>
    <row r="141" spans="1:9" s="8" customFormat="1" ht="33" customHeight="1" x14ac:dyDescent="0.3">
      <c r="A141" s="13">
        <v>458800000</v>
      </c>
      <c r="B141" s="51"/>
      <c r="C141" s="81" t="s">
        <v>28</v>
      </c>
      <c r="D141" s="81"/>
      <c r="E141" s="20">
        <f t="shared" si="8"/>
        <v>1287354</v>
      </c>
      <c r="F141" s="105">
        <v>1287354</v>
      </c>
      <c r="G141" s="105"/>
      <c r="H141" s="105"/>
      <c r="I141" s="105"/>
    </row>
    <row r="142" spans="1:9" s="8" customFormat="1" ht="33" customHeight="1" x14ac:dyDescent="0.3">
      <c r="A142" s="13">
        <v>451300000</v>
      </c>
      <c r="B142" s="51"/>
      <c r="C142" s="81" t="s">
        <v>44</v>
      </c>
      <c r="D142" s="81"/>
      <c r="E142" s="20">
        <f t="shared" si="8"/>
        <v>1634939</v>
      </c>
      <c r="F142" s="105">
        <v>1634939</v>
      </c>
      <c r="G142" s="105"/>
      <c r="H142" s="105"/>
      <c r="I142" s="105"/>
    </row>
    <row r="143" spans="1:9" ht="33" customHeight="1" x14ac:dyDescent="0.3">
      <c r="A143" s="13">
        <v>452600000</v>
      </c>
      <c r="B143" s="51"/>
      <c r="C143" s="81" t="s">
        <v>54</v>
      </c>
      <c r="D143" s="81"/>
      <c r="E143" s="20">
        <f t="shared" ref="E143:E144" si="9">F143+H143</f>
        <v>1544824</v>
      </c>
      <c r="F143" s="105">
        <v>1544824</v>
      </c>
      <c r="G143" s="105"/>
      <c r="H143" s="105"/>
      <c r="I143" s="105"/>
    </row>
    <row r="144" spans="1:9" ht="33" customHeight="1" x14ac:dyDescent="0.3">
      <c r="A144" s="13">
        <v>452700000</v>
      </c>
      <c r="B144" s="51"/>
      <c r="C144" s="81" t="s">
        <v>55</v>
      </c>
      <c r="D144" s="81"/>
      <c r="E144" s="20">
        <f t="shared" si="9"/>
        <v>1287354</v>
      </c>
      <c r="F144" s="105">
        <v>1287354</v>
      </c>
      <c r="G144" s="105"/>
      <c r="H144" s="105"/>
      <c r="I144" s="105"/>
    </row>
    <row r="145" spans="1:9" s="4" customFormat="1" ht="33" customHeight="1" x14ac:dyDescent="0.3">
      <c r="A145" s="85" t="s">
        <v>80</v>
      </c>
      <c r="B145" s="85"/>
      <c r="C145" s="85"/>
      <c r="D145" s="85"/>
      <c r="E145" s="19">
        <f>SUM(E126:E144)</f>
        <v>22460733</v>
      </c>
      <c r="F145" s="107">
        <f>SUM(F126:G144)</f>
        <v>22460733</v>
      </c>
      <c r="G145" s="107" t="e">
        <f>#REF!</f>
        <v>#REF!</v>
      </c>
      <c r="H145" s="107">
        <f>SUM(H126:I144)</f>
        <v>0</v>
      </c>
      <c r="I145" s="107" t="e">
        <f>#REF!</f>
        <v>#REF!</v>
      </c>
    </row>
    <row r="146" spans="1:9" s="4" customFormat="1" ht="61.5" customHeight="1" x14ac:dyDescent="0.3">
      <c r="A146" s="52" t="s">
        <v>267</v>
      </c>
      <c r="B146" s="53" t="s">
        <v>266</v>
      </c>
      <c r="C146" s="139" t="s">
        <v>265</v>
      </c>
      <c r="D146" s="140"/>
      <c r="E146" s="19">
        <f>E147+E157+E192</f>
        <v>18674000</v>
      </c>
      <c r="F146" s="86"/>
      <c r="G146" s="87"/>
      <c r="H146" s="87"/>
      <c r="I146" s="88"/>
    </row>
    <row r="147" spans="1:9" s="8" customFormat="1" ht="33" customHeight="1" x14ac:dyDescent="0.3">
      <c r="A147" s="14">
        <v>410000000</v>
      </c>
      <c r="B147" s="49"/>
      <c r="C147" s="106" t="s">
        <v>0</v>
      </c>
      <c r="D147" s="106"/>
      <c r="E147" s="22">
        <f>18674000-15073954-36578</f>
        <v>3563468</v>
      </c>
      <c r="F147" s="93"/>
      <c r="G147" s="94"/>
      <c r="H147" s="94"/>
      <c r="I147" s="95"/>
    </row>
    <row r="148" spans="1:9" ht="33" customHeight="1" x14ac:dyDescent="0.3">
      <c r="A148" s="13">
        <v>457400000</v>
      </c>
      <c r="B148" s="51"/>
      <c r="C148" s="81" t="s">
        <v>15</v>
      </c>
      <c r="D148" s="81"/>
      <c r="E148" s="20">
        <f>343506</f>
        <v>343506</v>
      </c>
      <c r="F148" s="82"/>
      <c r="G148" s="83"/>
      <c r="H148" s="83"/>
      <c r="I148" s="84"/>
    </row>
    <row r="149" spans="1:9" ht="33" customHeight="1" x14ac:dyDescent="0.3">
      <c r="A149" s="13">
        <v>457600000</v>
      </c>
      <c r="B149" s="51"/>
      <c r="C149" s="81" t="s">
        <v>17</v>
      </c>
      <c r="D149" s="81"/>
      <c r="E149" s="20">
        <f>5644974</f>
        <v>5644974</v>
      </c>
      <c r="F149" s="82"/>
      <c r="G149" s="83"/>
      <c r="H149" s="83"/>
      <c r="I149" s="84"/>
    </row>
    <row r="150" spans="1:9" ht="33" customHeight="1" x14ac:dyDescent="0.3">
      <c r="A150" s="13">
        <v>457700000</v>
      </c>
      <c r="B150" s="51"/>
      <c r="C150" s="101" t="s">
        <v>18</v>
      </c>
      <c r="D150" s="102"/>
      <c r="E150" s="20">
        <f>443638</f>
        <v>443638</v>
      </c>
      <c r="F150" s="82"/>
      <c r="G150" s="83"/>
      <c r="H150" s="83"/>
      <c r="I150" s="84"/>
    </row>
    <row r="151" spans="1:9" ht="33" customHeight="1" x14ac:dyDescent="0.3">
      <c r="A151" s="13">
        <v>457100000</v>
      </c>
      <c r="B151" s="51"/>
      <c r="C151" s="81" t="s">
        <v>125</v>
      </c>
      <c r="D151" s="81"/>
      <c r="E151" s="20">
        <f>2992505</f>
        <v>2992505</v>
      </c>
      <c r="F151" s="82"/>
      <c r="G151" s="83"/>
      <c r="H151" s="83"/>
      <c r="I151" s="84"/>
    </row>
    <row r="152" spans="1:9" ht="33" customHeight="1" x14ac:dyDescent="0.3">
      <c r="A152" s="13">
        <v>457810000</v>
      </c>
      <c r="B152" s="51"/>
      <c r="C152" s="81" t="s">
        <v>19</v>
      </c>
      <c r="D152" s="81"/>
      <c r="E152" s="20">
        <f>1577384</f>
        <v>1577384</v>
      </c>
      <c r="F152" s="82"/>
      <c r="G152" s="83"/>
      <c r="H152" s="83"/>
      <c r="I152" s="84"/>
    </row>
    <row r="153" spans="1:9" ht="33" customHeight="1" x14ac:dyDescent="0.3">
      <c r="A153" s="13">
        <v>456100000</v>
      </c>
      <c r="B153" s="51"/>
      <c r="C153" s="81" t="s">
        <v>31</v>
      </c>
      <c r="D153" s="81"/>
      <c r="E153" s="20">
        <f>7085</f>
        <v>7085</v>
      </c>
      <c r="F153" s="82"/>
      <c r="G153" s="83"/>
      <c r="H153" s="83"/>
      <c r="I153" s="84"/>
    </row>
    <row r="154" spans="1:9" ht="33" customHeight="1" x14ac:dyDescent="0.3">
      <c r="A154" s="13">
        <v>458400000</v>
      </c>
      <c r="B154" s="51"/>
      <c r="C154" s="81" t="s">
        <v>24</v>
      </c>
      <c r="D154" s="81"/>
      <c r="E154" s="20">
        <f>1623853</f>
        <v>1623853</v>
      </c>
      <c r="F154" s="82"/>
      <c r="G154" s="83"/>
      <c r="H154" s="83"/>
      <c r="I154" s="84"/>
    </row>
    <row r="155" spans="1:9" ht="33" customHeight="1" x14ac:dyDescent="0.3">
      <c r="A155" s="13">
        <v>456200000</v>
      </c>
      <c r="B155" s="51"/>
      <c r="C155" s="81" t="s">
        <v>32</v>
      </c>
      <c r="D155" s="81"/>
      <c r="E155" s="20">
        <f>140865</f>
        <v>140865</v>
      </c>
      <c r="F155" s="82"/>
      <c r="G155" s="83"/>
      <c r="H155" s="83"/>
      <c r="I155" s="84"/>
    </row>
    <row r="156" spans="1:9" ht="33" customHeight="1" x14ac:dyDescent="0.3">
      <c r="A156" s="13">
        <v>459100000</v>
      </c>
      <c r="B156" s="51"/>
      <c r="C156" s="81" t="s">
        <v>30</v>
      </c>
      <c r="D156" s="81"/>
      <c r="E156" s="20">
        <f>43934</f>
        <v>43934</v>
      </c>
      <c r="F156" s="82"/>
      <c r="G156" s="83"/>
      <c r="H156" s="83"/>
      <c r="I156" s="84"/>
    </row>
    <row r="157" spans="1:9" s="8" customFormat="1" ht="33" customHeight="1" x14ac:dyDescent="0.3">
      <c r="A157" s="85" t="s">
        <v>97</v>
      </c>
      <c r="B157" s="85"/>
      <c r="C157" s="85"/>
      <c r="D157" s="85"/>
      <c r="E157" s="19">
        <f>SUM(E148:E156)</f>
        <v>12817744</v>
      </c>
      <c r="F157" s="86"/>
      <c r="G157" s="87"/>
      <c r="H157" s="87"/>
      <c r="I157" s="88"/>
    </row>
    <row r="158" spans="1:9" ht="33" customHeight="1" x14ac:dyDescent="0.3">
      <c r="A158" s="13">
        <v>450100000</v>
      </c>
      <c r="B158" s="51"/>
      <c r="C158" s="81" t="s">
        <v>33</v>
      </c>
      <c r="D158" s="81"/>
      <c r="E158" s="20">
        <f>40961</f>
        <v>40961</v>
      </c>
      <c r="F158" s="82"/>
      <c r="G158" s="83"/>
      <c r="H158" s="83"/>
      <c r="I158" s="84"/>
    </row>
    <row r="159" spans="1:9" ht="33" customHeight="1" x14ac:dyDescent="0.3">
      <c r="A159" s="13">
        <v>457200000</v>
      </c>
      <c r="B159" s="51"/>
      <c r="C159" s="101" t="s">
        <v>14</v>
      </c>
      <c r="D159" s="102"/>
      <c r="E159" s="20">
        <f>15508</f>
        <v>15508</v>
      </c>
      <c r="F159" s="82"/>
      <c r="G159" s="83"/>
      <c r="H159" s="83"/>
      <c r="I159" s="84"/>
    </row>
    <row r="160" spans="1:9" ht="33" customHeight="1" x14ac:dyDescent="0.3">
      <c r="A160" s="13">
        <v>452900000</v>
      </c>
      <c r="B160" s="51"/>
      <c r="C160" s="81" t="s">
        <v>56</v>
      </c>
      <c r="D160" s="81"/>
      <c r="E160" s="20">
        <f>16699</f>
        <v>16699</v>
      </c>
      <c r="F160" s="82"/>
      <c r="G160" s="83"/>
      <c r="H160" s="83"/>
      <c r="I160" s="84"/>
    </row>
    <row r="161" spans="1:9" ht="33" customHeight="1" x14ac:dyDescent="0.3">
      <c r="A161" s="13">
        <v>457300000</v>
      </c>
      <c r="B161" s="51"/>
      <c r="C161" s="81" t="s">
        <v>112</v>
      </c>
      <c r="D161" s="81"/>
      <c r="E161" s="20">
        <f>75843</f>
        <v>75843</v>
      </c>
      <c r="F161" s="82"/>
      <c r="G161" s="83"/>
      <c r="H161" s="83"/>
      <c r="I161" s="84"/>
    </row>
    <row r="162" spans="1:9" ht="33" customHeight="1" x14ac:dyDescent="0.3">
      <c r="A162" s="13">
        <v>453600000</v>
      </c>
      <c r="B162" s="51"/>
      <c r="C162" s="81" t="s">
        <v>60</v>
      </c>
      <c r="D162" s="81"/>
      <c r="E162" s="20">
        <f>194188</f>
        <v>194188</v>
      </c>
      <c r="F162" s="82"/>
      <c r="G162" s="83"/>
      <c r="H162" s="83"/>
      <c r="I162" s="84"/>
    </row>
    <row r="163" spans="1:9" ht="33" customHeight="1" x14ac:dyDescent="0.3">
      <c r="A163" s="13">
        <v>452000000</v>
      </c>
      <c r="B163" s="51"/>
      <c r="C163" s="81" t="s">
        <v>48</v>
      </c>
      <c r="D163" s="81"/>
      <c r="E163" s="20">
        <f>9542</f>
        <v>9542</v>
      </c>
      <c r="F163" s="82"/>
      <c r="G163" s="83"/>
      <c r="H163" s="83"/>
      <c r="I163" s="84"/>
    </row>
    <row r="164" spans="1:9" ht="33" customHeight="1" x14ac:dyDescent="0.3">
      <c r="A164" s="13">
        <v>456300000</v>
      </c>
      <c r="B164" s="51"/>
      <c r="C164" s="81" t="s">
        <v>7</v>
      </c>
      <c r="D164" s="81"/>
      <c r="E164" s="20">
        <f>53119</f>
        <v>53119</v>
      </c>
      <c r="F164" s="82"/>
      <c r="G164" s="83"/>
      <c r="H164" s="83"/>
      <c r="I164" s="84"/>
    </row>
    <row r="165" spans="1:9" ht="33" customHeight="1" x14ac:dyDescent="0.3">
      <c r="A165" s="13">
        <v>450700000</v>
      </c>
      <c r="B165" s="51"/>
      <c r="C165" s="81" t="s">
        <v>40</v>
      </c>
      <c r="D165" s="81"/>
      <c r="E165" s="20">
        <f>18838</f>
        <v>18838</v>
      </c>
      <c r="F165" s="82"/>
      <c r="G165" s="83"/>
      <c r="H165" s="83"/>
      <c r="I165" s="84"/>
    </row>
    <row r="166" spans="1:9" ht="33" customHeight="1" x14ac:dyDescent="0.3">
      <c r="A166" s="13">
        <v>453500000</v>
      </c>
      <c r="B166" s="51"/>
      <c r="C166" s="81" t="s">
        <v>6</v>
      </c>
      <c r="D166" s="81"/>
      <c r="E166" s="20">
        <f>11338</f>
        <v>11338</v>
      </c>
      <c r="F166" s="82"/>
      <c r="G166" s="83"/>
      <c r="H166" s="83"/>
      <c r="I166" s="84"/>
    </row>
    <row r="167" spans="1:9" ht="33" customHeight="1" x14ac:dyDescent="0.3">
      <c r="A167" s="13">
        <v>456400000</v>
      </c>
      <c r="B167" s="51"/>
      <c r="C167" s="81" t="s">
        <v>8</v>
      </c>
      <c r="D167" s="81"/>
      <c r="E167" s="20">
        <f>49073</f>
        <v>49073</v>
      </c>
      <c r="F167" s="82"/>
      <c r="G167" s="83"/>
      <c r="H167" s="83"/>
      <c r="I167" s="84"/>
    </row>
    <row r="168" spans="1:9" ht="33" customHeight="1" x14ac:dyDescent="0.3">
      <c r="A168" s="13">
        <v>454700000</v>
      </c>
      <c r="B168" s="51"/>
      <c r="C168" s="81" t="s">
        <v>66</v>
      </c>
      <c r="D168" s="81"/>
      <c r="E168" s="20">
        <f>203140</f>
        <v>203140</v>
      </c>
      <c r="F168" s="82"/>
      <c r="G168" s="83"/>
      <c r="H168" s="83"/>
      <c r="I168" s="84"/>
    </row>
    <row r="169" spans="1:9" ht="33" customHeight="1" x14ac:dyDescent="0.3">
      <c r="A169" s="13" t="s">
        <v>156</v>
      </c>
      <c r="B169" s="51"/>
      <c r="C169" s="81" t="s">
        <v>157</v>
      </c>
      <c r="D169" s="81"/>
      <c r="E169" s="20">
        <f>60692</f>
        <v>60692</v>
      </c>
      <c r="F169" s="82"/>
      <c r="G169" s="83"/>
      <c r="H169" s="83"/>
      <c r="I169" s="84"/>
    </row>
    <row r="170" spans="1:9" ht="33" customHeight="1" x14ac:dyDescent="0.3">
      <c r="A170" s="13">
        <v>452100000</v>
      </c>
      <c r="B170" s="51"/>
      <c r="C170" s="81" t="s">
        <v>49</v>
      </c>
      <c r="D170" s="81"/>
      <c r="E170" s="20">
        <f>157714</f>
        <v>157714</v>
      </c>
      <c r="F170" s="82"/>
      <c r="G170" s="83"/>
      <c r="H170" s="83"/>
      <c r="I170" s="84"/>
    </row>
    <row r="171" spans="1:9" ht="33" customHeight="1" x14ac:dyDescent="0.3">
      <c r="A171" s="13">
        <v>457900000</v>
      </c>
      <c r="B171" s="51"/>
      <c r="C171" s="81" t="s">
        <v>20</v>
      </c>
      <c r="D171" s="81"/>
      <c r="E171" s="20">
        <f>38305</f>
        <v>38305</v>
      </c>
      <c r="F171" s="82"/>
      <c r="G171" s="83"/>
      <c r="H171" s="83"/>
      <c r="I171" s="84"/>
    </row>
    <row r="172" spans="1:9" ht="33" customHeight="1" x14ac:dyDescent="0.3">
      <c r="A172" s="13" t="s">
        <v>163</v>
      </c>
      <c r="B172" s="51"/>
      <c r="C172" s="81" t="s">
        <v>164</v>
      </c>
      <c r="D172" s="81"/>
      <c r="E172" s="20">
        <f>3817</f>
        <v>3817</v>
      </c>
      <c r="F172" s="82"/>
      <c r="G172" s="83"/>
      <c r="H172" s="83"/>
      <c r="I172" s="84"/>
    </row>
    <row r="173" spans="1:9" ht="33" customHeight="1" x14ac:dyDescent="0.3">
      <c r="A173" s="13">
        <v>456500000</v>
      </c>
      <c r="B173" s="51"/>
      <c r="C173" s="81" t="s">
        <v>9</v>
      </c>
      <c r="D173" s="81"/>
      <c r="E173" s="20">
        <f>44930</f>
        <v>44930</v>
      </c>
      <c r="F173" s="82"/>
      <c r="G173" s="83"/>
      <c r="H173" s="83"/>
      <c r="I173" s="84"/>
    </row>
    <row r="174" spans="1:9" ht="33" customHeight="1" x14ac:dyDescent="0.3">
      <c r="A174" s="13">
        <v>453100000</v>
      </c>
      <c r="B174" s="51"/>
      <c r="C174" s="81" t="s">
        <v>58</v>
      </c>
      <c r="D174" s="81"/>
      <c r="E174" s="20">
        <f>61273</f>
        <v>61273</v>
      </c>
      <c r="F174" s="82"/>
      <c r="G174" s="83"/>
      <c r="H174" s="83"/>
      <c r="I174" s="84"/>
    </row>
    <row r="175" spans="1:9" ht="33" customHeight="1" x14ac:dyDescent="0.3">
      <c r="A175" s="13">
        <v>454100000</v>
      </c>
      <c r="B175" s="51"/>
      <c r="C175" s="81" t="s">
        <v>78</v>
      </c>
      <c r="D175" s="81"/>
      <c r="E175" s="20">
        <f>38440</f>
        <v>38440</v>
      </c>
      <c r="F175" s="82"/>
      <c r="G175" s="83"/>
      <c r="H175" s="83"/>
      <c r="I175" s="84"/>
    </row>
    <row r="176" spans="1:9" ht="33" customHeight="1" x14ac:dyDescent="0.3">
      <c r="A176" s="13">
        <v>453700000</v>
      </c>
      <c r="B176" s="51"/>
      <c r="C176" s="81" t="s">
        <v>61</v>
      </c>
      <c r="D176" s="81"/>
      <c r="E176" s="20">
        <f>245516</f>
        <v>245516</v>
      </c>
      <c r="F176" s="82"/>
      <c r="G176" s="83"/>
      <c r="H176" s="83"/>
      <c r="I176" s="84"/>
    </row>
    <row r="177" spans="1:9" ht="33" customHeight="1" x14ac:dyDescent="0.3">
      <c r="A177" s="13">
        <v>453200000</v>
      </c>
      <c r="B177" s="51"/>
      <c r="C177" s="81" t="s">
        <v>59</v>
      </c>
      <c r="D177" s="81"/>
      <c r="E177" s="20">
        <f>16858</f>
        <v>16858</v>
      </c>
      <c r="F177" s="82"/>
      <c r="G177" s="83"/>
      <c r="H177" s="83"/>
      <c r="I177" s="84"/>
    </row>
    <row r="178" spans="1:9" ht="33" customHeight="1" x14ac:dyDescent="0.3">
      <c r="A178" s="13">
        <v>458300000</v>
      </c>
      <c r="B178" s="51"/>
      <c r="C178" s="81" t="s">
        <v>23</v>
      </c>
      <c r="D178" s="81"/>
      <c r="E178" s="20">
        <f>108782</f>
        <v>108782</v>
      </c>
      <c r="F178" s="82"/>
      <c r="G178" s="83"/>
      <c r="H178" s="83"/>
      <c r="I178" s="84"/>
    </row>
    <row r="179" spans="1:9" ht="33" customHeight="1" x14ac:dyDescent="0.3">
      <c r="A179" s="13">
        <v>456600000</v>
      </c>
      <c r="B179" s="51"/>
      <c r="C179" s="81" t="s">
        <v>10</v>
      </c>
      <c r="D179" s="81"/>
      <c r="E179" s="20">
        <f>42284</f>
        <v>42284</v>
      </c>
      <c r="F179" s="82"/>
      <c r="G179" s="83"/>
      <c r="H179" s="83"/>
      <c r="I179" s="84"/>
    </row>
    <row r="180" spans="1:9" ht="33" customHeight="1" x14ac:dyDescent="0.3">
      <c r="A180" s="13">
        <v>454300000</v>
      </c>
      <c r="B180" s="51"/>
      <c r="C180" s="81" t="s">
        <v>64</v>
      </c>
      <c r="D180" s="81"/>
      <c r="E180" s="20">
        <f>134133</f>
        <v>134133</v>
      </c>
      <c r="F180" s="82"/>
      <c r="G180" s="83"/>
      <c r="H180" s="83"/>
      <c r="I180" s="84"/>
    </row>
    <row r="181" spans="1:9" ht="33" customHeight="1" x14ac:dyDescent="0.3">
      <c r="A181" s="13">
        <v>456800000</v>
      </c>
      <c r="B181" s="51"/>
      <c r="C181" s="81" t="s">
        <v>12</v>
      </c>
      <c r="D181" s="81"/>
      <c r="E181" s="20">
        <f>25706</f>
        <v>25706</v>
      </c>
      <c r="F181" s="82"/>
      <c r="G181" s="83"/>
      <c r="H181" s="83"/>
      <c r="I181" s="84"/>
    </row>
    <row r="182" spans="1:9" ht="33" customHeight="1" x14ac:dyDescent="0.3">
      <c r="A182" s="13">
        <v>455900000</v>
      </c>
      <c r="B182" s="51"/>
      <c r="C182" s="81" t="s">
        <v>76</v>
      </c>
      <c r="D182" s="81"/>
      <c r="E182" s="20">
        <f>55029+36578</f>
        <v>91607</v>
      </c>
      <c r="F182" s="82"/>
      <c r="G182" s="83"/>
      <c r="H182" s="83"/>
      <c r="I182" s="84"/>
    </row>
    <row r="183" spans="1:9" ht="33" customHeight="1" x14ac:dyDescent="0.3">
      <c r="A183" s="13">
        <v>452300000</v>
      </c>
      <c r="B183" s="51"/>
      <c r="C183" s="81" t="s">
        <v>51</v>
      </c>
      <c r="D183" s="81"/>
      <c r="E183" s="20">
        <f>298124</f>
        <v>298124</v>
      </c>
      <c r="F183" s="82"/>
      <c r="G183" s="83"/>
      <c r="H183" s="83"/>
      <c r="I183" s="84"/>
    </row>
    <row r="184" spans="1:9" ht="33" customHeight="1" x14ac:dyDescent="0.3">
      <c r="A184" s="13">
        <v>458800000</v>
      </c>
      <c r="B184" s="51"/>
      <c r="C184" s="81" t="s">
        <v>28</v>
      </c>
      <c r="D184" s="81"/>
      <c r="E184" s="20">
        <f>58963</f>
        <v>58963</v>
      </c>
      <c r="F184" s="82"/>
      <c r="G184" s="83"/>
      <c r="H184" s="83"/>
      <c r="I184" s="84"/>
    </row>
    <row r="185" spans="1:9" ht="33" customHeight="1" x14ac:dyDescent="0.3">
      <c r="A185" s="13">
        <v>454600000</v>
      </c>
      <c r="B185" s="51"/>
      <c r="C185" s="81" t="s">
        <v>65</v>
      </c>
      <c r="D185" s="81"/>
      <c r="E185" s="20">
        <f>12099</f>
        <v>12099</v>
      </c>
      <c r="F185" s="82"/>
      <c r="G185" s="83"/>
      <c r="H185" s="83"/>
      <c r="I185" s="84"/>
    </row>
    <row r="186" spans="1:9" ht="33" customHeight="1" x14ac:dyDescent="0.3">
      <c r="A186" s="13">
        <v>455500000</v>
      </c>
      <c r="B186" s="51"/>
      <c r="C186" s="81" t="s">
        <v>72</v>
      </c>
      <c r="D186" s="81"/>
      <c r="E186" s="20">
        <f>20993</f>
        <v>20993</v>
      </c>
      <c r="F186" s="82"/>
      <c r="G186" s="83"/>
      <c r="H186" s="83"/>
      <c r="I186" s="84"/>
    </row>
    <row r="187" spans="1:9" s="2" customFormat="1" ht="33" customHeight="1" x14ac:dyDescent="0.3">
      <c r="A187" s="13">
        <v>452500000</v>
      </c>
      <c r="B187" s="51"/>
      <c r="C187" s="81" t="s">
        <v>53</v>
      </c>
      <c r="D187" s="81"/>
      <c r="E187" s="20">
        <f>11685</f>
        <v>11685</v>
      </c>
      <c r="F187" s="82"/>
      <c r="G187" s="83"/>
      <c r="H187" s="83"/>
      <c r="I187" s="84"/>
    </row>
    <row r="188" spans="1:9" s="2" customFormat="1" ht="33" customHeight="1" x14ac:dyDescent="0.3">
      <c r="A188" s="13">
        <v>452600000</v>
      </c>
      <c r="B188" s="51"/>
      <c r="C188" s="81" t="s">
        <v>54</v>
      </c>
      <c r="D188" s="81"/>
      <c r="E188" s="20">
        <f>36771</f>
        <v>36771</v>
      </c>
      <c r="F188" s="82"/>
      <c r="G188" s="83"/>
      <c r="H188" s="83"/>
      <c r="I188" s="84"/>
    </row>
    <row r="189" spans="1:9" s="2" customFormat="1" ht="33" customHeight="1" x14ac:dyDescent="0.3">
      <c r="A189" s="13">
        <v>455400000</v>
      </c>
      <c r="B189" s="51"/>
      <c r="C189" s="81" t="s">
        <v>71</v>
      </c>
      <c r="D189" s="81"/>
      <c r="E189" s="20">
        <f>7634</f>
        <v>7634</v>
      </c>
      <c r="F189" s="82"/>
      <c r="G189" s="83"/>
      <c r="H189" s="83"/>
      <c r="I189" s="84"/>
    </row>
    <row r="190" spans="1:9" s="2" customFormat="1" ht="33" customHeight="1" x14ac:dyDescent="0.3">
      <c r="A190" s="13">
        <v>454000000</v>
      </c>
      <c r="B190" s="51"/>
      <c r="C190" s="81" t="s">
        <v>62</v>
      </c>
      <c r="D190" s="81"/>
      <c r="E190" s="20">
        <f>51948</f>
        <v>51948</v>
      </c>
      <c r="F190" s="82"/>
      <c r="G190" s="83"/>
      <c r="H190" s="83"/>
      <c r="I190" s="84"/>
    </row>
    <row r="191" spans="1:9" s="2" customFormat="1" ht="33" customHeight="1" x14ac:dyDescent="0.3">
      <c r="A191" s="13">
        <v>455200000</v>
      </c>
      <c r="B191" s="51"/>
      <c r="C191" s="81" t="s">
        <v>69</v>
      </c>
      <c r="D191" s="81"/>
      <c r="E191" s="20">
        <f>36265</f>
        <v>36265</v>
      </c>
      <c r="F191" s="82"/>
      <c r="G191" s="83"/>
      <c r="H191" s="83"/>
      <c r="I191" s="84"/>
    </row>
    <row r="192" spans="1:9" s="4" customFormat="1" ht="33" customHeight="1" x14ac:dyDescent="0.3">
      <c r="A192" s="85" t="s">
        <v>80</v>
      </c>
      <c r="B192" s="85"/>
      <c r="C192" s="85"/>
      <c r="D192" s="85"/>
      <c r="E192" s="19">
        <f>SUM(E158:E191)</f>
        <v>2292788</v>
      </c>
      <c r="F192" s="86"/>
      <c r="G192" s="87"/>
      <c r="H192" s="87"/>
      <c r="I192" s="88"/>
    </row>
    <row r="193" spans="1:9" s="8" customFormat="1" ht="50.25" customHeight="1" x14ac:dyDescent="0.3">
      <c r="A193" s="118" t="s">
        <v>297</v>
      </c>
      <c r="B193" s="120">
        <v>9350</v>
      </c>
      <c r="C193" s="96" t="s">
        <v>298</v>
      </c>
      <c r="D193" s="97"/>
      <c r="E193" s="124">
        <f>E205+E256</f>
        <v>97822427</v>
      </c>
      <c r="F193" s="86" t="s">
        <v>296</v>
      </c>
      <c r="G193" s="87"/>
      <c r="H193" s="87"/>
      <c r="I193" s="88"/>
    </row>
    <row r="194" spans="1:9" s="8" customFormat="1" ht="285" customHeight="1" x14ac:dyDescent="0.3">
      <c r="A194" s="141"/>
      <c r="B194" s="142"/>
      <c r="C194" s="143"/>
      <c r="D194" s="144"/>
      <c r="E194" s="145"/>
      <c r="F194" s="86" t="s">
        <v>301</v>
      </c>
      <c r="G194" s="88"/>
      <c r="H194" s="36" t="s">
        <v>299</v>
      </c>
      <c r="I194" s="36" t="s">
        <v>300</v>
      </c>
    </row>
    <row r="195" spans="1:9" s="8" customFormat="1" ht="32.25" customHeight="1" x14ac:dyDescent="0.3">
      <c r="A195" s="119"/>
      <c r="B195" s="121"/>
      <c r="C195" s="122"/>
      <c r="D195" s="123"/>
      <c r="E195" s="125"/>
      <c r="F195" s="138">
        <f>F205+F256</f>
        <v>92725327</v>
      </c>
      <c r="G195" s="138"/>
      <c r="H195" s="36">
        <f>H205+H256</f>
        <v>3204500</v>
      </c>
      <c r="I195" s="36">
        <f>I205+I256</f>
        <v>1892600</v>
      </c>
    </row>
    <row r="196" spans="1:9" ht="33" customHeight="1" x14ac:dyDescent="0.3">
      <c r="A196" s="13">
        <v>457400000</v>
      </c>
      <c r="B196" s="51"/>
      <c r="C196" s="81" t="s">
        <v>15</v>
      </c>
      <c r="D196" s="81"/>
      <c r="E196" s="23">
        <f t="shared" ref="E196:E255" si="10">F196+H196+I196</f>
        <v>956107</v>
      </c>
      <c r="F196" s="137">
        <f>956107</f>
        <v>956107</v>
      </c>
      <c r="G196" s="137"/>
      <c r="H196" s="23"/>
      <c r="I196" s="23"/>
    </row>
    <row r="197" spans="1:9" ht="33" customHeight="1" x14ac:dyDescent="0.3">
      <c r="A197" s="13">
        <v>457600000</v>
      </c>
      <c r="B197" s="51"/>
      <c r="C197" s="81" t="s">
        <v>17</v>
      </c>
      <c r="D197" s="81"/>
      <c r="E197" s="23">
        <f t="shared" si="10"/>
        <v>22467316</v>
      </c>
      <c r="F197" s="137">
        <f>21392905</f>
        <v>21392905</v>
      </c>
      <c r="G197" s="137"/>
      <c r="H197" s="23">
        <f>659750</f>
        <v>659750</v>
      </c>
      <c r="I197" s="23">
        <f>414661</f>
        <v>414661</v>
      </c>
    </row>
    <row r="198" spans="1:9" ht="33" customHeight="1" x14ac:dyDescent="0.3">
      <c r="A198" s="13">
        <v>457700000</v>
      </c>
      <c r="B198" s="51"/>
      <c r="C198" s="101" t="s">
        <v>18</v>
      </c>
      <c r="D198" s="102"/>
      <c r="E198" s="23">
        <f t="shared" si="10"/>
        <v>2765882</v>
      </c>
      <c r="F198" s="137">
        <f>2765882</f>
        <v>2765882</v>
      </c>
      <c r="G198" s="137"/>
      <c r="H198" s="23"/>
      <c r="I198" s="23"/>
    </row>
    <row r="199" spans="1:9" ht="33" customHeight="1" x14ac:dyDescent="0.3">
      <c r="A199" s="13">
        <v>457100000</v>
      </c>
      <c r="B199" s="51"/>
      <c r="C199" s="81" t="s">
        <v>125</v>
      </c>
      <c r="D199" s="81"/>
      <c r="E199" s="23">
        <f t="shared" si="10"/>
        <v>15350959</v>
      </c>
      <c r="F199" s="137">
        <f>13983068</f>
        <v>13983068</v>
      </c>
      <c r="G199" s="137"/>
      <c r="H199" s="23">
        <f>848250</f>
        <v>848250</v>
      </c>
      <c r="I199" s="23">
        <f>519641</f>
        <v>519641</v>
      </c>
    </row>
    <row r="200" spans="1:9" ht="33" customHeight="1" x14ac:dyDescent="0.3">
      <c r="A200" s="13">
        <v>458200000</v>
      </c>
      <c r="B200" s="51"/>
      <c r="C200" s="81" t="s">
        <v>22</v>
      </c>
      <c r="D200" s="81"/>
      <c r="E200" s="23">
        <f t="shared" si="10"/>
        <v>768300</v>
      </c>
      <c r="F200" s="137">
        <f>768300</f>
        <v>768300</v>
      </c>
      <c r="G200" s="137"/>
      <c r="H200" s="23"/>
      <c r="I200" s="23"/>
    </row>
    <row r="201" spans="1:9" ht="33" customHeight="1" x14ac:dyDescent="0.3">
      <c r="A201" s="13">
        <v>458400000</v>
      </c>
      <c r="B201" s="51"/>
      <c r="C201" s="81" t="s">
        <v>24</v>
      </c>
      <c r="D201" s="81"/>
      <c r="E201" s="23">
        <f t="shared" si="10"/>
        <v>5824034</v>
      </c>
      <c r="F201" s="137">
        <f>4456143</f>
        <v>4456143</v>
      </c>
      <c r="G201" s="137"/>
      <c r="H201" s="23">
        <f>848250</f>
        <v>848250</v>
      </c>
      <c r="I201" s="23">
        <f>519641</f>
        <v>519641</v>
      </c>
    </row>
    <row r="202" spans="1:9" ht="33" customHeight="1" x14ac:dyDescent="0.3">
      <c r="A202" s="13">
        <v>458500000</v>
      </c>
      <c r="B202" s="51"/>
      <c r="C202" s="81" t="s">
        <v>25</v>
      </c>
      <c r="D202" s="81"/>
      <c r="E202" s="23">
        <f t="shared" si="10"/>
        <v>1314647</v>
      </c>
      <c r="F202" s="137">
        <f>1314647</f>
        <v>1314647</v>
      </c>
      <c r="G202" s="137"/>
      <c r="H202" s="23"/>
      <c r="I202" s="23"/>
    </row>
    <row r="203" spans="1:9" ht="31.5" customHeight="1" x14ac:dyDescent="0.3">
      <c r="A203" s="13">
        <v>458900000</v>
      </c>
      <c r="B203" s="51"/>
      <c r="C203" s="81" t="s">
        <v>29</v>
      </c>
      <c r="D203" s="81"/>
      <c r="E203" s="23">
        <f t="shared" si="10"/>
        <v>2151241</v>
      </c>
      <c r="F203" s="137">
        <f>2151241</f>
        <v>2151241</v>
      </c>
      <c r="G203" s="137"/>
      <c r="H203" s="23"/>
      <c r="I203" s="23"/>
    </row>
    <row r="204" spans="1:9" ht="33" customHeight="1" x14ac:dyDescent="0.3">
      <c r="A204" s="13">
        <v>459100000</v>
      </c>
      <c r="B204" s="51"/>
      <c r="C204" s="81" t="s">
        <v>30</v>
      </c>
      <c r="D204" s="81"/>
      <c r="E204" s="23">
        <f t="shared" si="10"/>
        <v>1314647</v>
      </c>
      <c r="F204" s="137">
        <f>1314647</f>
        <v>1314647</v>
      </c>
      <c r="G204" s="137"/>
      <c r="H204" s="23"/>
      <c r="I204" s="23"/>
    </row>
    <row r="205" spans="1:9" s="8" customFormat="1" ht="33" customHeight="1" x14ac:dyDescent="0.3">
      <c r="A205" s="85" t="s">
        <v>97</v>
      </c>
      <c r="B205" s="85"/>
      <c r="C205" s="85"/>
      <c r="D205" s="85"/>
      <c r="E205" s="22">
        <f t="shared" si="10"/>
        <v>52913133</v>
      </c>
      <c r="F205" s="138">
        <f>SUM(F196:G204)</f>
        <v>49102940</v>
      </c>
      <c r="G205" s="138"/>
      <c r="H205" s="22">
        <f>SUM(H196:H204)</f>
        <v>2356250</v>
      </c>
      <c r="I205" s="22">
        <f>SUM(I196:I204)</f>
        <v>1453943</v>
      </c>
    </row>
    <row r="206" spans="1:9" ht="33" customHeight="1" x14ac:dyDescent="0.3">
      <c r="A206" s="13">
        <v>450100000</v>
      </c>
      <c r="B206" s="51"/>
      <c r="C206" s="81" t="s">
        <v>33</v>
      </c>
      <c r="D206" s="81"/>
      <c r="E206" s="20">
        <f t="shared" si="10"/>
        <v>768300</v>
      </c>
      <c r="F206" s="137">
        <f>768300</f>
        <v>768300</v>
      </c>
      <c r="G206" s="137"/>
      <c r="H206" s="23"/>
      <c r="I206" s="23"/>
    </row>
    <row r="207" spans="1:9" ht="33" customHeight="1" x14ac:dyDescent="0.3">
      <c r="A207" s="13">
        <v>450200000</v>
      </c>
      <c r="B207" s="51"/>
      <c r="C207" s="81" t="s">
        <v>34</v>
      </c>
      <c r="D207" s="81"/>
      <c r="E207" s="20">
        <f t="shared" si="10"/>
        <v>682934</v>
      </c>
      <c r="F207" s="137">
        <f>682934</f>
        <v>682934</v>
      </c>
      <c r="G207" s="137"/>
      <c r="H207" s="23"/>
      <c r="I207" s="23"/>
    </row>
    <row r="208" spans="1:9" ht="33" customHeight="1" x14ac:dyDescent="0.3">
      <c r="A208" s="13">
        <v>451800000</v>
      </c>
      <c r="B208" s="51"/>
      <c r="C208" s="81" t="s">
        <v>35</v>
      </c>
      <c r="D208" s="81"/>
      <c r="E208" s="20">
        <f t="shared" si="10"/>
        <v>1075621</v>
      </c>
      <c r="F208" s="137">
        <f>1075621</f>
        <v>1075621</v>
      </c>
      <c r="G208" s="137"/>
      <c r="H208" s="23"/>
      <c r="I208" s="23"/>
    </row>
    <row r="209" spans="1:9" ht="33" customHeight="1" x14ac:dyDescent="0.3">
      <c r="A209" s="13">
        <v>457200000</v>
      </c>
      <c r="B209" s="51"/>
      <c r="C209" s="101" t="s">
        <v>14</v>
      </c>
      <c r="D209" s="102"/>
      <c r="E209" s="20">
        <f t="shared" si="10"/>
        <v>307320</v>
      </c>
      <c r="F209" s="137">
        <f>307320</f>
        <v>307320</v>
      </c>
      <c r="G209" s="137"/>
      <c r="H209" s="23"/>
      <c r="I209" s="23"/>
    </row>
    <row r="210" spans="1:9" ht="33" customHeight="1" x14ac:dyDescent="0.3">
      <c r="A210" s="13">
        <v>450500000</v>
      </c>
      <c r="B210" s="51"/>
      <c r="C210" s="81" t="s">
        <v>38</v>
      </c>
      <c r="D210" s="81"/>
      <c r="E210" s="20">
        <f t="shared" si="10"/>
        <v>307320</v>
      </c>
      <c r="F210" s="137">
        <f>307320</f>
        <v>307320</v>
      </c>
      <c r="G210" s="137"/>
      <c r="H210" s="23"/>
      <c r="I210" s="23"/>
    </row>
    <row r="211" spans="1:9" ht="33" customHeight="1" x14ac:dyDescent="0.3">
      <c r="A211" s="13">
        <v>451900000</v>
      </c>
      <c r="B211" s="51"/>
      <c r="C211" s="81" t="s">
        <v>47</v>
      </c>
      <c r="D211" s="81"/>
      <c r="E211" s="20">
        <f t="shared" si="10"/>
        <v>1997581</v>
      </c>
      <c r="F211" s="137">
        <f>1997581</f>
        <v>1997581</v>
      </c>
      <c r="G211" s="137"/>
      <c r="H211" s="23"/>
      <c r="I211" s="23"/>
    </row>
    <row r="212" spans="1:9" ht="33" customHeight="1" x14ac:dyDescent="0.3">
      <c r="A212" s="13">
        <v>450300000</v>
      </c>
      <c r="B212" s="51"/>
      <c r="C212" s="81" t="s">
        <v>36</v>
      </c>
      <c r="D212" s="81"/>
      <c r="E212" s="20">
        <f t="shared" si="10"/>
        <v>409760</v>
      </c>
      <c r="F212" s="137">
        <f>409760</f>
        <v>409760</v>
      </c>
      <c r="G212" s="137"/>
      <c r="H212" s="23"/>
      <c r="I212" s="23"/>
    </row>
    <row r="213" spans="1:9" ht="33" customHeight="1" x14ac:dyDescent="0.3">
      <c r="A213" s="13">
        <v>457300000</v>
      </c>
      <c r="B213" s="51"/>
      <c r="C213" s="81" t="s">
        <v>112</v>
      </c>
      <c r="D213" s="81"/>
      <c r="E213" s="20">
        <f t="shared" si="10"/>
        <v>921961</v>
      </c>
      <c r="F213" s="137">
        <f>921961</f>
        <v>921961</v>
      </c>
      <c r="G213" s="137"/>
      <c r="H213" s="23"/>
      <c r="I213" s="23"/>
    </row>
    <row r="214" spans="1:9" ht="33" customHeight="1" x14ac:dyDescent="0.3">
      <c r="A214" s="13">
        <v>453600000</v>
      </c>
      <c r="B214" s="51"/>
      <c r="C214" s="81" t="s">
        <v>60</v>
      </c>
      <c r="D214" s="81"/>
      <c r="E214" s="20">
        <f t="shared" si="10"/>
        <v>3073202</v>
      </c>
      <c r="F214" s="137">
        <f>3073202</f>
        <v>3073202</v>
      </c>
      <c r="G214" s="137"/>
      <c r="H214" s="23"/>
      <c r="I214" s="23"/>
    </row>
    <row r="215" spans="1:9" ht="33" customHeight="1" x14ac:dyDescent="0.3">
      <c r="A215" s="13">
        <v>452000000</v>
      </c>
      <c r="B215" s="51"/>
      <c r="C215" s="81" t="s">
        <v>48</v>
      </c>
      <c r="D215" s="81"/>
      <c r="E215" s="20">
        <f t="shared" si="10"/>
        <v>460980</v>
      </c>
      <c r="F215" s="137">
        <f>460980</f>
        <v>460980</v>
      </c>
      <c r="G215" s="137"/>
      <c r="H215" s="23"/>
      <c r="I215" s="23"/>
    </row>
    <row r="216" spans="1:9" ht="33" customHeight="1" x14ac:dyDescent="0.3">
      <c r="A216" s="13">
        <v>456300000</v>
      </c>
      <c r="B216" s="51"/>
      <c r="C216" s="81" t="s">
        <v>7</v>
      </c>
      <c r="D216" s="81"/>
      <c r="E216" s="20">
        <f t="shared" si="10"/>
        <v>546347</v>
      </c>
      <c r="F216" s="137">
        <f>546347</f>
        <v>546347</v>
      </c>
      <c r="G216" s="137"/>
      <c r="H216" s="23"/>
      <c r="I216" s="23"/>
    </row>
    <row r="217" spans="1:9" ht="33" customHeight="1" x14ac:dyDescent="0.3">
      <c r="A217" s="13">
        <v>457500000</v>
      </c>
      <c r="B217" s="51"/>
      <c r="C217" s="81" t="s">
        <v>16</v>
      </c>
      <c r="D217" s="81"/>
      <c r="E217" s="20">
        <f t="shared" si="10"/>
        <v>1092694</v>
      </c>
      <c r="F217" s="137">
        <f>1092694</f>
        <v>1092694</v>
      </c>
      <c r="G217" s="137"/>
      <c r="H217" s="23"/>
      <c r="I217" s="23"/>
    </row>
    <row r="218" spans="1:9" ht="33" customHeight="1" x14ac:dyDescent="0.3">
      <c r="A218" s="13">
        <v>455600000</v>
      </c>
      <c r="B218" s="51"/>
      <c r="C218" s="81" t="s">
        <v>73</v>
      </c>
      <c r="D218" s="81"/>
      <c r="E218" s="20">
        <f t="shared" si="10"/>
        <v>768300</v>
      </c>
      <c r="F218" s="137">
        <f>768300</f>
        <v>768300</v>
      </c>
      <c r="G218" s="137"/>
      <c r="H218" s="23"/>
      <c r="I218" s="23"/>
    </row>
    <row r="219" spans="1:9" ht="33" customHeight="1" x14ac:dyDescent="0.3">
      <c r="A219" s="13" t="s">
        <v>151</v>
      </c>
      <c r="B219" s="51"/>
      <c r="C219" s="81" t="s">
        <v>152</v>
      </c>
      <c r="D219" s="81"/>
      <c r="E219" s="20">
        <f t="shared" si="10"/>
        <v>409760</v>
      </c>
      <c r="F219" s="137">
        <f>409760</f>
        <v>409760</v>
      </c>
      <c r="G219" s="137"/>
      <c r="H219" s="23"/>
      <c r="I219" s="23"/>
    </row>
    <row r="220" spans="1:9" ht="33" customHeight="1" x14ac:dyDescent="0.3">
      <c r="A220" s="13">
        <v>456400000</v>
      </c>
      <c r="B220" s="51"/>
      <c r="C220" s="81" t="s">
        <v>8</v>
      </c>
      <c r="D220" s="81"/>
      <c r="E220" s="20">
        <f t="shared" si="10"/>
        <v>614640</v>
      </c>
      <c r="F220" s="137">
        <f>614640</f>
        <v>614640</v>
      </c>
      <c r="G220" s="137"/>
      <c r="H220" s="23"/>
      <c r="I220" s="23"/>
    </row>
    <row r="221" spans="1:9" ht="33" customHeight="1" x14ac:dyDescent="0.3">
      <c r="A221" s="13">
        <v>454700000</v>
      </c>
      <c r="B221" s="51"/>
      <c r="C221" s="81" t="s">
        <v>66</v>
      </c>
      <c r="D221" s="81"/>
      <c r="E221" s="20">
        <f t="shared" si="10"/>
        <v>1075621</v>
      </c>
      <c r="F221" s="137">
        <f>1075621</f>
        <v>1075621</v>
      </c>
      <c r="G221" s="137"/>
      <c r="H221" s="23"/>
      <c r="I221" s="23"/>
    </row>
    <row r="222" spans="1:9" ht="33" customHeight="1" x14ac:dyDescent="0.3">
      <c r="A222" s="13" t="s">
        <v>156</v>
      </c>
      <c r="B222" s="51"/>
      <c r="C222" s="81" t="s">
        <v>157</v>
      </c>
      <c r="D222" s="81"/>
      <c r="E222" s="20">
        <f t="shared" si="10"/>
        <v>307320</v>
      </c>
      <c r="F222" s="137">
        <f>307320</f>
        <v>307320</v>
      </c>
      <c r="G222" s="137"/>
      <c r="H222" s="23"/>
      <c r="I222" s="23"/>
    </row>
    <row r="223" spans="1:9" ht="33" customHeight="1" x14ac:dyDescent="0.3">
      <c r="A223" s="13">
        <v>452100000</v>
      </c>
      <c r="B223" s="51"/>
      <c r="C223" s="81" t="s">
        <v>49</v>
      </c>
      <c r="D223" s="81"/>
      <c r="E223" s="20">
        <f t="shared" si="10"/>
        <v>1639041</v>
      </c>
      <c r="F223" s="137">
        <f>1639041</f>
        <v>1639041</v>
      </c>
      <c r="G223" s="137"/>
      <c r="H223" s="23"/>
      <c r="I223" s="23"/>
    </row>
    <row r="224" spans="1:9" ht="33" customHeight="1" x14ac:dyDescent="0.3">
      <c r="A224" s="13">
        <v>452200000</v>
      </c>
      <c r="B224" s="51"/>
      <c r="C224" s="101" t="s">
        <v>50</v>
      </c>
      <c r="D224" s="102"/>
      <c r="E224" s="20">
        <f t="shared" si="10"/>
        <v>460980</v>
      </c>
      <c r="F224" s="137">
        <f>460980</f>
        <v>460980</v>
      </c>
      <c r="G224" s="137"/>
      <c r="H224" s="23"/>
      <c r="I224" s="23"/>
    </row>
    <row r="225" spans="1:9" ht="33" customHeight="1" x14ac:dyDescent="0.3">
      <c r="A225" s="13">
        <v>455700000</v>
      </c>
      <c r="B225" s="51"/>
      <c r="C225" s="81" t="s">
        <v>74</v>
      </c>
      <c r="D225" s="81"/>
      <c r="E225" s="20">
        <f t="shared" si="10"/>
        <v>546347</v>
      </c>
      <c r="F225" s="137">
        <f>546347</f>
        <v>546347</v>
      </c>
      <c r="G225" s="137"/>
      <c r="H225" s="23"/>
      <c r="I225" s="23"/>
    </row>
    <row r="226" spans="1:9" ht="33" customHeight="1" x14ac:dyDescent="0.3">
      <c r="A226" s="13" t="s">
        <v>163</v>
      </c>
      <c r="B226" s="51"/>
      <c r="C226" s="81" t="s">
        <v>164</v>
      </c>
      <c r="D226" s="81"/>
      <c r="E226" s="20">
        <f t="shared" si="10"/>
        <v>153660</v>
      </c>
      <c r="F226" s="137">
        <f>153660</f>
        <v>153660</v>
      </c>
      <c r="G226" s="137"/>
      <c r="H226" s="23"/>
      <c r="I226" s="23"/>
    </row>
    <row r="227" spans="1:9" ht="33" customHeight="1" x14ac:dyDescent="0.3">
      <c r="A227" s="13">
        <v>456500000</v>
      </c>
      <c r="B227" s="51"/>
      <c r="C227" s="81" t="s">
        <v>9</v>
      </c>
      <c r="D227" s="81"/>
      <c r="E227" s="20">
        <f t="shared" si="10"/>
        <v>2612221</v>
      </c>
      <c r="F227" s="137">
        <f>2612221</f>
        <v>2612221</v>
      </c>
      <c r="G227" s="137"/>
      <c r="H227" s="23"/>
      <c r="I227" s="23"/>
    </row>
    <row r="228" spans="1:9" ht="33" customHeight="1" x14ac:dyDescent="0.3">
      <c r="A228" s="13">
        <v>453700000</v>
      </c>
      <c r="B228" s="51"/>
      <c r="C228" s="81" t="s">
        <v>61</v>
      </c>
      <c r="D228" s="81"/>
      <c r="E228" s="20">
        <f t="shared" si="10"/>
        <v>768300</v>
      </c>
      <c r="F228" s="137">
        <f>768300</f>
        <v>768300</v>
      </c>
      <c r="G228" s="137"/>
      <c r="H228" s="23"/>
      <c r="I228" s="23"/>
    </row>
    <row r="229" spans="1:9" ht="33" customHeight="1" x14ac:dyDescent="0.3">
      <c r="A229" s="13">
        <v>458000000</v>
      </c>
      <c r="B229" s="51"/>
      <c r="C229" s="81" t="s">
        <v>100</v>
      </c>
      <c r="D229" s="81"/>
      <c r="E229" s="20">
        <f t="shared" si="10"/>
        <v>460980</v>
      </c>
      <c r="F229" s="137">
        <f>460980</f>
        <v>460980</v>
      </c>
      <c r="G229" s="137"/>
      <c r="H229" s="23"/>
      <c r="I229" s="23"/>
    </row>
    <row r="230" spans="1:9" ht="33" customHeight="1" x14ac:dyDescent="0.3">
      <c r="A230" s="13">
        <v>454400000</v>
      </c>
      <c r="B230" s="51"/>
      <c r="C230" s="81" t="s">
        <v>99</v>
      </c>
      <c r="D230" s="81"/>
      <c r="E230" s="20">
        <f t="shared" si="10"/>
        <v>768300</v>
      </c>
      <c r="F230" s="137">
        <f>768300</f>
        <v>768300</v>
      </c>
      <c r="G230" s="137"/>
      <c r="H230" s="23"/>
      <c r="I230" s="23"/>
    </row>
    <row r="231" spans="1:9" ht="33" customHeight="1" x14ac:dyDescent="0.3">
      <c r="A231" s="13">
        <v>450900000</v>
      </c>
      <c r="B231" s="51"/>
      <c r="C231" s="81" t="s">
        <v>41</v>
      </c>
      <c r="D231" s="81"/>
      <c r="E231" s="20">
        <f t="shared" si="10"/>
        <v>307320</v>
      </c>
      <c r="F231" s="137">
        <f>307320</f>
        <v>307320</v>
      </c>
      <c r="G231" s="137"/>
      <c r="H231" s="23"/>
      <c r="I231" s="23"/>
    </row>
    <row r="232" spans="1:9" ht="33" customHeight="1" x14ac:dyDescent="0.3">
      <c r="A232" s="13">
        <v>453200000</v>
      </c>
      <c r="B232" s="51"/>
      <c r="C232" s="81" t="s">
        <v>59</v>
      </c>
      <c r="D232" s="81"/>
      <c r="E232" s="20">
        <f t="shared" si="10"/>
        <v>153660</v>
      </c>
      <c r="F232" s="137">
        <f>153660</f>
        <v>153660</v>
      </c>
      <c r="G232" s="137"/>
      <c r="H232" s="23"/>
      <c r="I232" s="23"/>
    </row>
    <row r="233" spans="1:9" ht="33" customHeight="1" x14ac:dyDescent="0.3">
      <c r="A233" s="13">
        <v>451100000</v>
      </c>
      <c r="B233" s="51"/>
      <c r="C233" s="81" t="s">
        <v>79</v>
      </c>
      <c r="D233" s="81"/>
      <c r="E233" s="20">
        <f t="shared" si="10"/>
        <v>307320</v>
      </c>
      <c r="F233" s="137">
        <f>307320</f>
        <v>307320</v>
      </c>
      <c r="G233" s="137"/>
      <c r="H233" s="23"/>
      <c r="I233" s="23"/>
    </row>
    <row r="234" spans="1:9" ht="33" customHeight="1" x14ac:dyDescent="0.3">
      <c r="A234" s="13">
        <v>451200000</v>
      </c>
      <c r="B234" s="51"/>
      <c r="C234" s="81" t="s">
        <v>43</v>
      </c>
      <c r="D234" s="81"/>
      <c r="E234" s="20">
        <f t="shared" si="10"/>
        <v>614640</v>
      </c>
      <c r="F234" s="137">
        <f>614640</f>
        <v>614640</v>
      </c>
      <c r="G234" s="137"/>
      <c r="H234" s="23"/>
      <c r="I234" s="23"/>
    </row>
    <row r="235" spans="1:9" ht="33" customHeight="1" x14ac:dyDescent="0.3">
      <c r="A235" s="13">
        <v>455800000</v>
      </c>
      <c r="B235" s="51"/>
      <c r="C235" s="81" t="s">
        <v>75</v>
      </c>
      <c r="D235" s="81"/>
      <c r="E235" s="20">
        <f t="shared" si="10"/>
        <v>1690261</v>
      </c>
      <c r="F235" s="137">
        <f>1690261</f>
        <v>1690261</v>
      </c>
      <c r="G235" s="137"/>
      <c r="H235" s="23"/>
      <c r="I235" s="23"/>
    </row>
    <row r="236" spans="1:9" ht="33" customHeight="1" x14ac:dyDescent="0.3">
      <c r="A236" s="13">
        <v>454300000</v>
      </c>
      <c r="B236" s="51"/>
      <c r="C236" s="81" t="s">
        <v>64</v>
      </c>
      <c r="D236" s="81"/>
      <c r="E236" s="20">
        <f t="shared" si="10"/>
        <v>1502454</v>
      </c>
      <c r="F236" s="137">
        <f>1502454</f>
        <v>1502454</v>
      </c>
      <c r="G236" s="137"/>
      <c r="H236" s="23"/>
      <c r="I236" s="23"/>
    </row>
    <row r="237" spans="1:9" ht="33" customHeight="1" x14ac:dyDescent="0.3">
      <c r="A237" s="13">
        <v>456800000</v>
      </c>
      <c r="B237" s="51"/>
      <c r="C237" s="81" t="s">
        <v>12</v>
      </c>
      <c r="D237" s="81"/>
      <c r="E237" s="20">
        <f t="shared" si="10"/>
        <v>460980</v>
      </c>
      <c r="F237" s="137">
        <f>460980</f>
        <v>460980</v>
      </c>
      <c r="G237" s="137"/>
      <c r="H237" s="23"/>
      <c r="I237" s="23"/>
    </row>
    <row r="238" spans="1:9" ht="33" customHeight="1" x14ac:dyDescent="0.3">
      <c r="A238" s="13">
        <v>455900000</v>
      </c>
      <c r="B238" s="51"/>
      <c r="C238" s="81" t="s">
        <v>76</v>
      </c>
      <c r="D238" s="81"/>
      <c r="E238" s="20">
        <f t="shared" si="10"/>
        <v>921961</v>
      </c>
      <c r="F238" s="137">
        <f>921961</f>
        <v>921961</v>
      </c>
      <c r="G238" s="137"/>
      <c r="H238" s="23"/>
      <c r="I238" s="23"/>
    </row>
    <row r="239" spans="1:9" ht="33" customHeight="1" x14ac:dyDescent="0.3">
      <c r="A239" s="13">
        <v>458800000</v>
      </c>
      <c r="B239" s="51"/>
      <c r="C239" s="81" t="s">
        <v>28</v>
      </c>
      <c r="D239" s="81"/>
      <c r="E239" s="20">
        <f t="shared" si="10"/>
        <v>2458561</v>
      </c>
      <c r="F239" s="137">
        <f>2458561</f>
        <v>2458561</v>
      </c>
      <c r="G239" s="137"/>
      <c r="H239" s="23"/>
      <c r="I239" s="23"/>
    </row>
    <row r="240" spans="1:9" ht="33" customHeight="1" x14ac:dyDescent="0.3">
      <c r="A240" s="13">
        <v>454600000</v>
      </c>
      <c r="B240" s="51"/>
      <c r="C240" s="81" t="s">
        <v>65</v>
      </c>
      <c r="D240" s="81"/>
      <c r="E240" s="20">
        <f t="shared" si="10"/>
        <v>1075621</v>
      </c>
      <c r="F240" s="137">
        <f>1075621</f>
        <v>1075621</v>
      </c>
      <c r="G240" s="137"/>
      <c r="H240" s="23"/>
      <c r="I240" s="23"/>
    </row>
    <row r="241" spans="1:9" ht="33" customHeight="1" x14ac:dyDescent="0.3">
      <c r="A241" s="13">
        <v>452400000</v>
      </c>
      <c r="B241" s="51"/>
      <c r="C241" s="81" t="s">
        <v>52</v>
      </c>
      <c r="D241" s="81"/>
      <c r="E241" s="20">
        <f t="shared" si="10"/>
        <v>307320</v>
      </c>
      <c r="F241" s="137">
        <f>307320</f>
        <v>307320</v>
      </c>
      <c r="G241" s="137"/>
      <c r="H241" s="23"/>
      <c r="I241" s="23"/>
    </row>
    <row r="242" spans="1:9" ht="33" customHeight="1" x14ac:dyDescent="0.3">
      <c r="A242" s="13">
        <v>455500000</v>
      </c>
      <c r="B242" s="51"/>
      <c r="C242" s="81" t="s">
        <v>72</v>
      </c>
      <c r="D242" s="81"/>
      <c r="E242" s="20">
        <f t="shared" si="10"/>
        <v>921961</v>
      </c>
      <c r="F242" s="137">
        <f>921961</f>
        <v>921961</v>
      </c>
      <c r="G242" s="137"/>
      <c r="H242" s="23"/>
      <c r="I242" s="23"/>
    </row>
    <row r="243" spans="1:9" ht="33" customHeight="1" x14ac:dyDescent="0.3">
      <c r="A243" s="13">
        <v>450400000</v>
      </c>
      <c r="B243" s="51"/>
      <c r="C243" s="81" t="s">
        <v>37</v>
      </c>
      <c r="D243" s="81"/>
      <c r="E243" s="20">
        <f t="shared" si="10"/>
        <v>307320</v>
      </c>
      <c r="F243" s="137">
        <f>307320</f>
        <v>307320</v>
      </c>
      <c r="G243" s="137"/>
      <c r="H243" s="23"/>
      <c r="I243" s="23"/>
    </row>
    <row r="244" spans="1:9" ht="33" customHeight="1" x14ac:dyDescent="0.3">
      <c r="A244" s="13">
        <v>454800000</v>
      </c>
      <c r="B244" s="51"/>
      <c r="C244" s="81" t="s">
        <v>209</v>
      </c>
      <c r="D244" s="81"/>
      <c r="E244" s="20">
        <f t="shared" si="10"/>
        <v>460980</v>
      </c>
      <c r="F244" s="137">
        <f>460980</f>
        <v>460980</v>
      </c>
      <c r="G244" s="137"/>
      <c r="H244" s="23"/>
      <c r="I244" s="23"/>
    </row>
    <row r="245" spans="1:9" ht="33" customHeight="1" x14ac:dyDescent="0.3">
      <c r="A245" s="13">
        <v>451500000</v>
      </c>
      <c r="B245" s="51"/>
      <c r="C245" s="81" t="s">
        <v>45</v>
      </c>
      <c r="D245" s="81"/>
      <c r="E245" s="20">
        <f t="shared" si="10"/>
        <v>1229281</v>
      </c>
      <c r="F245" s="137">
        <f>1229281</f>
        <v>1229281</v>
      </c>
      <c r="G245" s="137"/>
      <c r="H245" s="23"/>
      <c r="I245" s="23"/>
    </row>
    <row r="246" spans="1:9" s="2" customFormat="1" ht="33" customHeight="1" x14ac:dyDescent="0.3">
      <c r="A246" s="13">
        <v>451300000</v>
      </c>
      <c r="B246" s="51"/>
      <c r="C246" s="81" t="s">
        <v>44</v>
      </c>
      <c r="D246" s="81"/>
      <c r="E246" s="20">
        <f t="shared" si="10"/>
        <v>3284488</v>
      </c>
      <c r="F246" s="137">
        <f>1997581</f>
        <v>1997581</v>
      </c>
      <c r="G246" s="137"/>
      <c r="H246" s="23">
        <f>848250</f>
        <v>848250</v>
      </c>
      <c r="I246" s="23">
        <f>438657</f>
        <v>438657</v>
      </c>
    </row>
    <row r="247" spans="1:9" s="2" customFormat="1" ht="33" customHeight="1" x14ac:dyDescent="0.3">
      <c r="A247" s="13">
        <v>452500000</v>
      </c>
      <c r="B247" s="51"/>
      <c r="C247" s="81" t="s">
        <v>53</v>
      </c>
      <c r="D247" s="81"/>
      <c r="E247" s="20">
        <f t="shared" si="10"/>
        <v>768300</v>
      </c>
      <c r="F247" s="137">
        <f>768300</f>
        <v>768300</v>
      </c>
      <c r="G247" s="137"/>
      <c r="H247" s="23"/>
      <c r="I247" s="23"/>
    </row>
    <row r="248" spans="1:9" s="2" customFormat="1" ht="33" customHeight="1" x14ac:dyDescent="0.3">
      <c r="A248" s="13">
        <v>454200000</v>
      </c>
      <c r="B248" s="51"/>
      <c r="C248" s="81" t="s">
        <v>63</v>
      </c>
      <c r="D248" s="81"/>
      <c r="E248" s="20">
        <f t="shared" si="10"/>
        <v>409760</v>
      </c>
      <c r="F248" s="137">
        <f>409760</f>
        <v>409760</v>
      </c>
      <c r="G248" s="137"/>
      <c r="H248" s="23"/>
      <c r="I248" s="23"/>
    </row>
    <row r="249" spans="1:9" s="2" customFormat="1" ht="33" customHeight="1" x14ac:dyDescent="0.3">
      <c r="A249" s="13">
        <v>455400000</v>
      </c>
      <c r="B249" s="51"/>
      <c r="C249" s="81" t="s">
        <v>71</v>
      </c>
      <c r="D249" s="81"/>
      <c r="E249" s="20">
        <f t="shared" si="10"/>
        <v>307320</v>
      </c>
      <c r="F249" s="137">
        <f>307320</f>
        <v>307320</v>
      </c>
      <c r="G249" s="137"/>
      <c r="H249" s="23"/>
      <c r="I249" s="23"/>
    </row>
    <row r="250" spans="1:9" s="2" customFormat="1" ht="33" customHeight="1" x14ac:dyDescent="0.3">
      <c r="A250" s="13">
        <v>452700000</v>
      </c>
      <c r="B250" s="51"/>
      <c r="C250" s="81" t="s">
        <v>55</v>
      </c>
      <c r="D250" s="81"/>
      <c r="E250" s="20">
        <f t="shared" si="10"/>
        <v>1229281</v>
      </c>
      <c r="F250" s="137">
        <f>1229281</f>
        <v>1229281</v>
      </c>
      <c r="G250" s="137"/>
      <c r="H250" s="23"/>
      <c r="I250" s="23"/>
    </row>
    <row r="251" spans="1:9" s="2" customFormat="1" ht="33" customHeight="1" x14ac:dyDescent="0.3">
      <c r="A251" s="13">
        <v>457000000</v>
      </c>
      <c r="B251" s="51"/>
      <c r="C251" s="81" t="s">
        <v>13</v>
      </c>
      <c r="D251" s="81"/>
      <c r="E251" s="20">
        <f t="shared" si="10"/>
        <v>614640</v>
      </c>
      <c r="F251" s="137">
        <f>614640</f>
        <v>614640</v>
      </c>
      <c r="G251" s="137"/>
      <c r="H251" s="23"/>
      <c r="I251" s="23"/>
    </row>
    <row r="252" spans="1:9" s="2" customFormat="1" ht="33" customHeight="1" x14ac:dyDescent="0.3">
      <c r="A252" s="13">
        <v>456700000</v>
      </c>
      <c r="B252" s="51"/>
      <c r="C252" s="81" t="s">
        <v>11</v>
      </c>
      <c r="D252" s="81"/>
      <c r="E252" s="20">
        <f t="shared" si="10"/>
        <v>614640</v>
      </c>
      <c r="F252" s="137">
        <f>614640</f>
        <v>614640</v>
      </c>
      <c r="G252" s="137"/>
      <c r="H252" s="23"/>
      <c r="I252" s="23"/>
    </row>
    <row r="253" spans="1:9" s="2" customFormat="1" ht="33" customHeight="1" x14ac:dyDescent="0.3">
      <c r="A253" s="13">
        <v>456000000</v>
      </c>
      <c r="B253" s="51"/>
      <c r="C253" s="81" t="s">
        <v>198</v>
      </c>
      <c r="D253" s="81"/>
      <c r="E253" s="20">
        <f t="shared" si="10"/>
        <v>273173</v>
      </c>
      <c r="F253" s="137">
        <f>273173</f>
        <v>273173</v>
      </c>
      <c r="G253" s="137"/>
      <c r="H253" s="23"/>
      <c r="I253" s="23"/>
    </row>
    <row r="254" spans="1:9" s="2" customFormat="1" ht="33" customHeight="1" x14ac:dyDescent="0.3">
      <c r="A254" s="13">
        <v>455100000</v>
      </c>
      <c r="B254" s="51"/>
      <c r="C254" s="81" t="s">
        <v>68</v>
      </c>
      <c r="D254" s="81"/>
      <c r="E254" s="20">
        <f t="shared" si="10"/>
        <v>1229281</v>
      </c>
      <c r="F254" s="137">
        <f>1229281</f>
        <v>1229281</v>
      </c>
      <c r="G254" s="137"/>
      <c r="H254" s="23"/>
      <c r="I254" s="23"/>
    </row>
    <row r="255" spans="1:9" s="2" customFormat="1" ht="33" customHeight="1" x14ac:dyDescent="0.3">
      <c r="A255" s="13">
        <v>455200000</v>
      </c>
      <c r="B255" s="51"/>
      <c r="C255" s="81" t="s">
        <v>69</v>
      </c>
      <c r="D255" s="81"/>
      <c r="E255" s="20">
        <f t="shared" si="10"/>
        <v>1229281</v>
      </c>
      <c r="F255" s="137">
        <f>1229281</f>
        <v>1229281</v>
      </c>
      <c r="G255" s="137"/>
      <c r="H255" s="23"/>
      <c r="I255" s="23"/>
    </row>
    <row r="256" spans="1:9" s="4" customFormat="1" ht="33" customHeight="1" x14ac:dyDescent="0.3">
      <c r="A256" s="85" t="s">
        <v>80</v>
      </c>
      <c r="B256" s="85"/>
      <c r="C256" s="85"/>
      <c r="D256" s="85"/>
      <c r="E256" s="19">
        <f>SUM(E206:E255)</f>
        <v>44909294</v>
      </c>
      <c r="F256" s="138">
        <f>SUM(F206:G255)</f>
        <v>43622387</v>
      </c>
      <c r="G256" s="138"/>
      <c r="H256" s="22">
        <f>SUM(H206:H255)</f>
        <v>848250</v>
      </c>
      <c r="I256" s="22">
        <f>SUM(I206:I255)</f>
        <v>438657</v>
      </c>
    </row>
    <row r="257" spans="1:9" s="8" customFormat="1" ht="60" customHeight="1" x14ac:dyDescent="0.3">
      <c r="A257" s="52" t="s">
        <v>258</v>
      </c>
      <c r="B257" s="53">
        <v>9518</v>
      </c>
      <c r="C257" s="106" t="s">
        <v>257</v>
      </c>
      <c r="D257" s="106"/>
      <c r="E257" s="22">
        <f>E263+E271</f>
        <v>1257700</v>
      </c>
      <c r="F257" s="93" t="s">
        <v>105</v>
      </c>
      <c r="G257" s="94"/>
      <c r="H257" s="94"/>
      <c r="I257" s="95"/>
    </row>
    <row r="258" spans="1:9" ht="33" customHeight="1" x14ac:dyDescent="0.3">
      <c r="A258" s="13">
        <v>457600000</v>
      </c>
      <c r="B258" s="51"/>
      <c r="C258" s="81" t="s">
        <v>17</v>
      </c>
      <c r="D258" s="81"/>
      <c r="E258" s="23">
        <f t="shared" ref="E258:E262" si="11">F258+H258</f>
        <v>187100</v>
      </c>
      <c r="F258" s="98">
        <f>187100</f>
        <v>187100</v>
      </c>
      <c r="G258" s="99"/>
      <c r="H258" s="99"/>
      <c r="I258" s="100"/>
    </row>
    <row r="259" spans="1:9" ht="33" customHeight="1" x14ac:dyDescent="0.3">
      <c r="A259" s="13">
        <v>457700000</v>
      </c>
      <c r="B259" s="51"/>
      <c r="C259" s="81" t="s">
        <v>18</v>
      </c>
      <c r="D259" s="81"/>
      <c r="E259" s="23">
        <f t="shared" si="11"/>
        <v>93550</v>
      </c>
      <c r="F259" s="98">
        <f>93550</f>
        <v>93550</v>
      </c>
      <c r="G259" s="99"/>
      <c r="H259" s="99"/>
      <c r="I259" s="100"/>
    </row>
    <row r="260" spans="1:9" ht="33" customHeight="1" x14ac:dyDescent="0.3">
      <c r="A260" s="13">
        <v>457810000</v>
      </c>
      <c r="B260" s="51"/>
      <c r="C260" s="81" t="s">
        <v>19</v>
      </c>
      <c r="D260" s="81"/>
      <c r="E260" s="23">
        <f t="shared" si="11"/>
        <v>187100</v>
      </c>
      <c r="F260" s="98">
        <f>187100</f>
        <v>187100</v>
      </c>
      <c r="G260" s="99"/>
      <c r="H260" s="99"/>
      <c r="I260" s="100"/>
    </row>
    <row r="261" spans="1:9" ht="33" customHeight="1" x14ac:dyDescent="0.3">
      <c r="A261" s="13">
        <v>458200000</v>
      </c>
      <c r="B261" s="51"/>
      <c r="C261" s="81" t="s">
        <v>22</v>
      </c>
      <c r="D261" s="81"/>
      <c r="E261" s="23">
        <f t="shared" si="11"/>
        <v>92195</v>
      </c>
      <c r="F261" s="98">
        <f>92195</f>
        <v>92195</v>
      </c>
      <c r="G261" s="99"/>
      <c r="H261" s="99"/>
      <c r="I261" s="100"/>
    </row>
    <row r="262" spans="1:9" ht="33" customHeight="1" x14ac:dyDescent="0.3">
      <c r="A262" s="13">
        <v>458400000</v>
      </c>
      <c r="B262" s="51"/>
      <c r="C262" s="81" t="s">
        <v>24</v>
      </c>
      <c r="D262" s="81"/>
      <c r="E262" s="23">
        <f t="shared" si="11"/>
        <v>93550</v>
      </c>
      <c r="F262" s="98">
        <f>93550</f>
        <v>93550</v>
      </c>
      <c r="G262" s="99"/>
      <c r="H262" s="99"/>
      <c r="I262" s="100"/>
    </row>
    <row r="263" spans="1:9" s="8" customFormat="1" ht="33" customHeight="1" x14ac:dyDescent="0.3">
      <c r="A263" s="85" t="s">
        <v>97</v>
      </c>
      <c r="B263" s="85"/>
      <c r="C263" s="85"/>
      <c r="D263" s="85"/>
      <c r="E263" s="19">
        <f>F263</f>
        <v>653495</v>
      </c>
      <c r="F263" s="93">
        <f>SUM(F258:I262)</f>
        <v>653495</v>
      </c>
      <c r="G263" s="94"/>
      <c r="H263" s="94"/>
      <c r="I263" s="95"/>
    </row>
    <row r="264" spans="1:9" s="8" customFormat="1" ht="33" customHeight="1" x14ac:dyDescent="0.3">
      <c r="A264" s="13">
        <v>453600000</v>
      </c>
      <c r="B264" s="51"/>
      <c r="C264" s="81" t="s">
        <v>60</v>
      </c>
      <c r="D264" s="81"/>
      <c r="E264" s="20">
        <f>F264</f>
        <v>85772</v>
      </c>
      <c r="F264" s="98">
        <f>85772</f>
        <v>85772</v>
      </c>
      <c r="G264" s="99"/>
      <c r="H264" s="99"/>
      <c r="I264" s="100"/>
    </row>
    <row r="265" spans="1:9" ht="33" customHeight="1" x14ac:dyDescent="0.3">
      <c r="A265" s="13">
        <v>455700000</v>
      </c>
      <c r="B265" s="51"/>
      <c r="C265" s="81" t="s">
        <v>74</v>
      </c>
      <c r="D265" s="81"/>
      <c r="E265" s="20">
        <f t="shared" ref="E265:E271" si="12">F265</f>
        <v>77094.5</v>
      </c>
      <c r="F265" s="98">
        <f>77094.5</f>
        <v>77094.5</v>
      </c>
      <c r="G265" s="99"/>
      <c r="H265" s="99"/>
      <c r="I265" s="100"/>
    </row>
    <row r="266" spans="1:9" s="8" customFormat="1" ht="33" customHeight="1" x14ac:dyDescent="0.3">
      <c r="A266" s="13">
        <v>456500000</v>
      </c>
      <c r="B266" s="51"/>
      <c r="C266" s="81" t="s">
        <v>9</v>
      </c>
      <c r="D266" s="81"/>
      <c r="E266" s="20">
        <f t="shared" si="12"/>
        <v>93550</v>
      </c>
      <c r="F266" s="98">
        <f>93550</f>
        <v>93550</v>
      </c>
      <c r="G266" s="99"/>
      <c r="H266" s="99"/>
      <c r="I266" s="100"/>
    </row>
    <row r="267" spans="1:9" ht="33" customHeight="1" x14ac:dyDescent="0.3">
      <c r="A267" s="13">
        <v>453900000</v>
      </c>
      <c r="B267" s="51"/>
      <c r="C267" s="81" t="s">
        <v>77</v>
      </c>
      <c r="D267" s="81"/>
      <c r="E267" s="20">
        <f t="shared" si="12"/>
        <v>83838</v>
      </c>
      <c r="F267" s="98">
        <f>83838</f>
        <v>83838</v>
      </c>
      <c r="G267" s="99"/>
      <c r="H267" s="99"/>
      <c r="I267" s="100"/>
    </row>
    <row r="268" spans="1:9" s="8" customFormat="1" ht="33" customHeight="1" x14ac:dyDescent="0.3">
      <c r="A268" s="13">
        <v>454300000</v>
      </c>
      <c r="B268" s="51"/>
      <c r="C268" s="81" t="s">
        <v>64</v>
      </c>
      <c r="D268" s="81"/>
      <c r="E268" s="20">
        <f t="shared" si="12"/>
        <v>84628.5</v>
      </c>
      <c r="F268" s="98">
        <f>84628.5</f>
        <v>84628.5</v>
      </c>
      <c r="G268" s="99"/>
      <c r="H268" s="99"/>
      <c r="I268" s="100"/>
    </row>
    <row r="269" spans="1:9" s="8" customFormat="1" ht="33" customHeight="1" x14ac:dyDescent="0.3">
      <c r="A269" s="13">
        <v>456800000</v>
      </c>
      <c r="B269" s="51"/>
      <c r="C269" s="81" t="s">
        <v>12</v>
      </c>
      <c r="D269" s="81"/>
      <c r="E269" s="20">
        <f t="shared" si="12"/>
        <v>85772</v>
      </c>
      <c r="F269" s="98">
        <f>85772</f>
        <v>85772</v>
      </c>
      <c r="G269" s="99"/>
      <c r="H269" s="99"/>
      <c r="I269" s="100"/>
    </row>
    <row r="270" spans="1:9" ht="33" customHeight="1" x14ac:dyDescent="0.3">
      <c r="A270" s="13">
        <v>451500000</v>
      </c>
      <c r="B270" s="51"/>
      <c r="C270" s="81" t="s">
        <v>45</v>
      </c>
      <c r="D270" s="81"/>
      <c r="E270" s="20">
        <f t="shared" si="12"/>
        <v>93550</v>
      </c>
      <c r="F270" s="98">
        <f>93550</f>
        <v>93550</v>
      </c>
      <c r="G270" s="99"/>
      <c r="H270" s="99"/>
      <c r="I270" s="100"/>
    </row>
    <row r="271" spans="1:9" s="4" customFormat="1" ht="33" customHeight="1" x14ac:dyDescent="0.3">
      <c r="A271" s="85" t="s">
        <v>80</v>
      </c>
      <c r="B271" s="85"/>
      <c r="C271" s="85"/>
      <c r="D271" s="85"/>
      <c r="E271" s="19">
        <f t="shared" si="12"/>
        <v>604205</v>
      </c>
      <c r="F271" s="93">
        <f>SUM(F264:I270)</f>
        <v>604205</v>
      </c>
      <c r="G271" s="94"/>
      <c r="H271" s="94"/>
      <c r="I271" s="95"/>
    </row>
    <row r="272" spans="1:9" s="8" customFormat="1" ht="48" customHeight="1" x14ac:dyDescent="0.3">
      <c r="A272" s="52" t="s">
        <v>120</v>
      </c>
      <c r="B272" s="53">
        <v>9770</v>
      </c>
      <c r="C272" s="106" t="s">
        <v>128</v>
      </c>
      <c r="D272" s="106"/>
      <c r="E272" s="22">
        <f>E273+E287+E358</f>
        <v>70031000</v>
      </c>
      <c r="F272" s="93"/>
      <c r="G272" s="94"/>
      <c r="H272" s="94"/>
      <c r="I272" s="95"/>
    </row>
    <row r="273" spans="1:9" s="8" customFormat="1" ht="32.25" customHeight="1" x14ac:dyDescent="0.3">
      <c r="A273" s="14">
        <v>410000000</v>
      </c>
      <c r="B273" s="49"/>
      <c r="C273" s="106" t="s">
        <v>0</v>
      </c>
      <c r="D273" s="106"/>
      <c r="E273" s="22">
        <f>90000000-74805000-4010000-920000-1950000-1400000-849000-1516000-550000-1600000</f>
        <v>2400000</v>
      </c>
      <c r="F273" s="93"/>
      <c r="G273" s="94"/>
      <c r="H273" s="94"/>
      <c r="I273" s="95"/>
    </row>
    <row r="274" spans="1:9" ht="33" customHeight="1" x14ac:dyDescent="0.3">
      <c r="A274" s="13">
        <v>457400000</v>
      </c>
      <c r="B274" s="51"/>
      <c r="C274" s="81" t="s">
        <v>15</v>
      </c>
      <c r="D274" s="81"/>
      <c r="E274" s="20">
        <f>985000-50000-5000+100000</f>
        <v>1030000</v>
      </c>
      <c r="F274" s="82"/>
      <c r="G274" s="83"/>
      <c r="H274" s="83"/>
      <c r="I274" s="84"/>
    </row>
    <row r="275" spans="1:9" ht="33" customHeight="1" x14ac:dyDescent="0.3">
      <c r="A275" s="13">
        <v>457600000</v>
      </c>
      <c r="B275" s="51"/>
      <c r="C275" s="81" t="s">
        <v>17</v>
      </c>
      <c r="D275" s="81"/>
      <c r="E275" s="20">
        <f>32605000-360000-525000-1576000+298000</f>
        <v>30442000</v>
      </c>
      <c r="F275" s="82"/>
      <c r="G275" s="83"/>
      <c r="H275" s="83"/>
      <c r="I275" s="84"/>
    </row>
    <row r="276" spans="1:9" ht="33" customHeight="1" x14ac:dyDescent="0.3">
      <c r="A276" s="13">
        <v>457700000</v>
      </c>
      <c r="B276" s="51"/>
      <c r="C276" s="81" t="s">
        <v>18</v>
      </c>
      <c r="D276" s="81"/>
      <c r="E276" s="20">
        <f>460000-40000+25000+10000-210000</f>
        <v>245000</v>
      </c>
      <c r="F276" s="82"/>
      <c r="G276" s="83"/>
      <c r="H276" s="83"/>
      <c r="I276" s="84"/>
    </row>
    <row r="277" spans="1:9" ht="33" customHeight="1" x14ac:dyDescent="0.3">
      <c r="A277" s="13">
        <v>457100000</v>
      </c>
      <c r="B277" s="51"/>
      <c r="C277" s="81" t="s">
        <v>125</v>
      </c>
      <c r="D277" s="81"/>
      <c r="E277" s="20">
        <f>1745000-80000-157000+40000-50000</f>
        <v>1498000</v>
      </c>
      <c r="F277" s="82"/>
      <c r="G277" s="83"/>
      <c r="H277" s="83"/>
      <c r="I277" s="84"/>
    </row>
    <row r="278" spans="1:9" ht="33" customHeight="1" x14ac:dyDescent="0.3">
      <c r="A278" s="13">
        <v>457810000</v>
      </c>
      <c r="B278" s="51"/>
      <c r="C278" s="81" t="s">
        <v>19</v>
      </c>
      <c r="D278" s="81"/>
      <c r="E278" s="20">
        <f>13420000-2400000-1045000-600000</f>
        <v>9375000</v>
      </c>
      <c r="F278" s="82"/>
      <c r="G278" s="83"/>
      <c r="H278" s="83"/>
      <c r="I278" s="84"/>
    </row>
    <row r="279" spans="1:9" ht="33" customHeight="1" x14ac:dyDescent="0.3">
      <c r="A279" s="13">
        <v>456100000</v>
      </c>
      <c r="B279" s="51"/>
      <c r="C279" s="81" t="s">
        <v>31</v>
      </c>
      <c r="D279" s="81"/>
      <c r="E279" s="20">
        <f>300000</f>
        <v>300000</v>
      </c>
      <c r="F279" s="82"/>
      <c r="G279" s="83"/>
      <c r="H279" s="83"/>
      <c r="I279" s="84"/>
    </row>
    <row r="280" spans="1:9" ht="33" customHeight="1" x14ac:dyDescent="0.3">
      <c r="A280" s="13">
        <v>458100000</v>
      </c>
      <c r="B280" s="51"/>
      <c r="C280" s="81" t="s">
        <v>21</v>
      </c>
      <c r="D280" s="81"/>
      <c r="E280" s="20">
        <f>1610000-100000</f>
        <v>1510000</v>
      </c>
      <c r="F280" s="82"/>
      <c r="G280" s="83"/>
      <c r="H280" s="83"/>
      <c r="I280" s="84"/>
    </row>
    <row r="281" spans="1:9" ht="33" customHeight="1" x14ac:dyDescent="0.3">
      <c r="A281" s="13">
        <v>458200000</v>
      </c>
      <c r="B281" s="51"/>
      <c r="C281" s="81" t="s">
        <v>22</v>
      </c>
      <c r="D281" s="81"/>
      <c r="E281" s="20">
        <f>1150000-150000-100000-15000-250000</f>
        <v>635000</v>
      </c>
      <c r="F281" s="82"/>
      <c r="G281" s="83"/>
      <c r="H281" s="83"/>
      <c r="I281" s="84"/>
    </row>
    <row r="282" spans="1:9" ht="33" customHeight="1" x14ac:dyDescent="0.3">
      <c r="A282" s="13">
        <v>458400000</v>
      </c>
      <c r="B282" s="51"/>
      <c r="C282" s="81" t="s">
        <v>24</v>
      </c>
      <c r="D282" s="81"/>
      <c r="E282" s="20">
        <f>1300000-250000+25000-28000</f>
        <v>1047000</v>
      </c>
      <c r="F282" s="82"/>
      <c r="G282" s="83"/>
      <c r="H282" s="83"/>
      <c r="I282" s="84"/>
    </row>
    <row r="283" spans="1:9" ht="33" customHeight="1" x14ac:dyDescent="0.3">
      <c r="A283" s="13">
        <v>458500000</v>
      </c>
      <c r="B283" s="51"/>
      <c r="C283" s="81" t="s">
        <v>25</v>
      </c>
      <c r="D283" s="81"/>
      <c r="E283" s="20">
        <f>420000-30000-110000</f>
        <v>280000</v>
      </c>
      <c r="F283" s="82"/>
      <c r="G283" s="83"/>
      <c r="H283" s="83"/>
      <c r="I283" s="84"/>
    </row>
    <row r="284" spans="1:9" ht="33" customHeight="1" x14ac:dyDescent="0.3">
      <c r="A284" s="13">
        <v>456200000</v>
      </c>
      <c r="B284" s="51"/>
      <c r="C284" s="81" t="s">
        <v>32</v>
      </c>
      <c r="D284" s="81"/>
      <c r="E284" s="20">
        <f>510000+160000-14000</f>
        <v>656000</v>
      </c>
      <c r="F284" s="82"/>
      <c r="G284" s="83"/>
      <c r="H284" s="83"/>
      <c r="I284" s="84"/>
    </row>
    <row r="285" spans="1:9" ht="33" customHeight="1" x14ac:dyDescent="0.3">
      <c r="A285" s="13">
        <v>458900000</v>
      </c>
      <c r="B285" s="51"/>
      <c r="C285" s="81" t="s">
        <v>29</v>
      </c>
      <c r="D285" s="81"/>
      <c r="E285" s="20">
        <f>970000-30000</f>
        <v>940000</v>
      </c>
      <c r="F285" s="82"/>
      <c r="G285" s="83"/>
      <c r="H285" s="83"/>
      <c r="I285" s="84"/>
    </row>
    <row r="286" spans="1:9" ht="33" customHeight="1" x14ac:dyDescent="0.3">
      <c r="A286" s="13">
        <v>459100000</v>
      </c>
      <c r="B286" s="51"/>
      <c r="C286" s="81" t="s">
        <v>30</v>
      </c>
      <c r="D286" s="81"/>
      <c r="E286" s="20">
        <f>910000-55000+310000-40000</f>
        <v>1125000</v>
      </c>
      <c r="F286" s="82"/>
      <c r="G286" s="83"/>
      <c r="H286" s="83"/>
      <c r="I286" s="84"/>
    </row>
    <row r="287" spans="1:9" s="8" customFormat="1" ht="33" customHeight="1" x14ac:dyDescent="0.3">
      <c r="A287" s="85" t="s">
        <v>97</v>
      </c>
      <c r="B287" s="85"/>
      <c r="C287" s="85"/>
      <c r="D287" s="85"/>
      <c r="E287" s="19">
        <f>SUM(E274:E286)</f>
        <v>49083000</v>
      </c>
      <c r="F287" s="86"/>
      <c r="G287" s="87"/>
      <c r="H287" s="87"/>
      <c r="I287" s="88"/>
    </row>
    <row r="288" spans="1:9" ht="33" customHeight="1" x14ac:dyDescent="0.3">
      <c r="A288" s="13">
        <v>450100000</v>
      </c>
      <c r="B288" s="51"/>
      <c r="C288" s="81" t="s">
        <v>33</v>
      </c>
      <c r="D288" s="81"/>
      <c r="E288" s="20">
        <f>150000+10000</f>
        <v>160000</v>
      </c>
      <c r="F288" s="82"/>
      <c r="G288" s="83"/>
      <c r="H288" s="83"/>
      <c r="I288" s="84"/>
    </row>
    <row r="289" spans="1:9" ht="33" customHeight="1" x14ac:dyDescent="0.3">
      <c r="A289" s="13">
        <v>450200000</v>
      </c>
      <c r="B289" s="51"/>
      <c r="C289" s="81" t="s">
        <v>34</v>
      </c>
      <c r="D289" s="81"/>
      <c r="E289" s="20">
        <f>210000-15000-80000</f>
        <v>115000</v>
      </c>
      <c r="F289" s="82"/>
      <c r="G289" s="83"/>
      <c r="H289" s="83"/>
      <c r="I289" s="84"/>
    </row>
    <row r="290" spans="1:9" ht="33" customHeight="1" x14ac:dyDescent="0.3">
      <c r="A290" s="13">
        <v>451800000</v>
      </c>
      <c r="B290" s="51"/>
      <c r="C290" s="81" t="s">
        <v>35</v>
      </c>
      <c r="D290" s="81"/>
      <c r="E290" s="20">
        <f>775000</f>
        <v>775000</v>
      </c>
      <c r="F290" s="82"/>
      <c r="G290" s="83"/>
      <c r="H290" s="83"/>
      <c r="I290" s="84"/>
    </row>
    <row r="291" spans="1:9" ht="33" customHeight="1" x14ac:dyDescent="0.3">
      <c r="A291" s="13">
        <v>457200000</v>
      </c>
      <c r="B291" s="51"/>
      <c r="C291" s="101" t="s">
        <v>14</v>
      </c>
      <c r="D291" s="102"/>
      <c r="E291" s="20">
        <f>330000</f>
        <v>330000</v>
      </c>
      <c r="F291" s="82"/>
      <c r="G291" s="83"/>
      <c r="H291" s="83"/>
      <c r="I291" s="84"/>
    </row>
    <row r="292" spans="1:9" ht="33" customHeight="1" x14ac:dyDescent="0.3">
      <c r="A292" s="13">
        <v>450500000</v>
      </c>
      <c r="B292" s="51"/>
      <c r="C292" s="81" t="s">
        <v>38</v>
      </c>
      <c r="D292" s="81"/>
      <c r="E292" s="20">
        <f>30000</f>
        <v>30000</v>
      </c>
      <c r="F292" s="82"/>
      <c r="G292" s="83"/>
      <c r="H292" s="83"/>
      <c r="I292" s="84"/>
    </row>
    <row r="293" spans="1:9" ht="33" customHeight="1" x14ac:dyDescent="0.3">
      <c r="A293" s="13">
        <v>451900000</v>
      </c>
      <c r="B293" s="51"/>
      <c r="C293" s="81" t="s">
        <v>47</v>
      </c>
      <c r="D293" s="81"/>
      <c r="E293" s="20">
        <f>800000-100000+10000</f>
        <v>710000</v>
      </c>
      <c r="F293" s="82"/>
      <c r="G293" s="83"/>
      <c r="H293" s="83"/>
      <c r="I293" s="84"/>
    </row>
    <row r="294" spans="1:9" ht="33" customHeight="1" x14ac:dyDescent="0.3">
      <c r="A294" s="13">
        <v>452900000</v>
      </c>
      <c r="B294" s="51"/>
      <c r="C294" s="81" t="s">
        <v>56</v>
      </c>
      <c r="D294" s="81"/>
      <c r="E294" s="20">
        <f>550000-50000-130000</f>
        <v>370000</v>
      </c>
      <c r="F294" s="82"/>
      <c r="G294" s="83"/>
      <c r="H294" s="83"/>
      <c r="I294" s="84"/>
    </row>
    <row r="295" spans="1:9" ht="33" customHeight="1" x14ac:dyDescent="0.3">
      <c r="A295" s="13">
        <v>450300000</v>
      </c>
      <c r="B295" s="51"/>
      <c r="C295" s="81" t="s">
        <v>36</v>
      </c>
      <c r="D295" s="81"/>
      <c r="E295" s="20">
        <f>110000-15000+35000</f>
        <v>130000</v>
      </c>
      <c r="F295" s="82"/>
      <c r="G295" s="83"/>
      <c r="H295" s="83"/>
      <c r="I295" s="84"/>
    </row>
    <row r="296" spans="1:9" ht="33" customHeight="1" x14ac:dyDescent="0.3">
      <c r="A296" s="13">
        <v>457300000</v>
      </c>
      <c r="B296" s="51"/>
      <c r="C296" s="81" t="s">
        <v>112</v>
      </c>
      <c r="D296" s="81"/>
      <c r="E296" s="20">
        <f>235000-50000</f>
        <v>185000</v>
      </c>
      <c r="F296" s="82"/>
      <c r="G296" s="83"/>
      <c r="H296" s="83"/>
      <c r="I296" s="84"/>
    </row>
    <row r="297" spans="1:9" ht="33" customHeight="1" x14ac:dyDescent="0.3">
      <c r="A297" s="13">
        <v>453600000</v>
      </c>
      <c r="B297" s="51"/>
      <c r="C297" s="81" t="s">
        <v>60</v>
      </c>
      <c r="D297" s="81"/>
      <c r="E297" s="20">
        <f>470000-50000+900000</f>
        <v>1320000</v>
      </c>
      <c r="F297" s="82"/>
      <c r="G297" s="83"/>
      <c r="H297" s="83"/>
      <c r="I297" s="84"/>
    </row>
    <row r="298" spans="1:9" ht="33" customHeight="1" x14ac:dyDescent="0.3">
      <c r="A298" s="13">
        <v>452000000</v>
      </c>
      <c r="B298" s="51"/>
      <c r="C298" s="81" t="s">
        <v>48</v>
      </c>
      <c r="D298" s="81"/>
      <c r="E298" s="20">
        <f>70000</f>
        <v>70000</v>
      </c>
      <c r="F298" s="82"/>
      <c r="G298" s="83"/>
      <c r="H298" s="83"/>
      <c r="I298" s="84"/>
    </row>
    <row r="299" spans="1:9" ht="33" customHeight="1" x14ac:dyDescent="0.3">
      <c r="A299" s="13">
        <v>456300000</v>
      </c>
      <c r="B299" s="51"/>
      <c r="C299" s="81" t="s">
        <v>7</v>
      </c>
      <c r="D299" s="81"/>
      <c r="E299" s="20">
        <f>60000</f>
        <v>60000</v>
      </c>
      <c r="F299" s="82"/>
      <c r="G299" s="83"/>
      <c r="H299" s="83"/>
      <c r="I299" s="84"/>
    </row>
    <row r="300" spans="1:9" ht="33" customHeight="1" x14ac:dyDescent="0.3">
      <c r="A300" s="13">
        <v>453000000</v>
      </c>
      <c r="B300" s="51"/>
      <c r="C300" s="81" t="s">
        <v>57</v>
      </c>
      <c r="D300" s="81"/>
      <c r="E300" s="20">
        <f>95000</f>
        <v>95000</v>
      </c>
      <c r="F300" s="82"/>
      <c r="G300" s="83"/>
      <c r="H300" s="83"/>
      <c r="I300" s="84"/>
    </row>
    <row r="301" spans="1:9" ht="33" customHeight="1" x14ac:dyDescent="0.3">
      <c r="A301" s="13">
        <v>450700000</v>
      </c>
      <c r="B301" s="51"/>
      <c r="C301" s="81" t="s">
        <v>40</v>
      </c>
      <c r="D301" s="81"/>
      <c r="E301" s="20">
        <f>60000</f>
        <v>60000</v>
      </c>
      <c r="F301" s="82"/>
      <c r="G301" s="83"/>
      <c r="H301" s="83"/>
      <c r="I301" s="84"/>
    </row>
    <row r="302" spans="1:9" ht="33" customHeight="1" x14ac:dyDescent="0.3">
      <c r="A302" s="13">
        <v>457500000</v>
      </c>
      <c r="B302" s="51"/>
      <c r="C302" s="81" t="s">
        <v>16</v>
      </c>
      <c r="D302" s="81"/>
      <c r="E302" s="20">
        <f>170000-20000-35000</f>
        <v>115000</v>
      </c>
      <c r="F302" s="82"/>
      <c r="G302" s="83"/>
      <c r="H302" s="83"/>
      <c r="I302" s="84"/>
    </row>
    <row r="303" spans="1:9" ht="33" customHeight="1" x14ac:dyDescent="0.3">
      <c r="A303" s="13">
        <v>455600000</v>
      </c>
      <c r="B303" s="51"/>
      <c r="C303" s="81" t="s">
        <v>73</v>
      </c>
      <c r="D303" s="81"/>
      <c r="E303" s="20">
        <f>30000</f>
        <v>30000</v>
      </c>
      <c r="F303" s="82"/>
      <c r="G303" s="83"/>
      <c r="H303" s="83"/>
      <c r="I303" s="84"/>
    </row>
    <row r="304" spans="1:9" ht="33" customHeight="1" x14ac:dyDescent="0.3">
      <c r="A304" s="13">
        <v>453500000</v>
      </c>
      <c r="B304" s="51"/>
      <c r="C304" s="81" t="s">
        <v>6</v>
      </c>
      <c r="D304" s="81"/>
      <c r="E304" s="20">
        <f>320000-50000</f>
        <v>270000</v>
      </c>
      <c r="F304" s="82"/>
      <c r="G304" s="83"/>
      <c r="H304" s="83"/>
      <c r="I304" s="84"/>
    </row>
    <row r="305" spans="1:9" ht="33" customHeight="1" x14ac:dyDescent="0.3">
      <c r="A305" s="13">
        <v>456400000</v>
      </c>
      <c r="B305" s="51"/>
      <c r="C305" s="81" t="s">
        <v>8</v>
      </c>
      <c r="D305" s="81"/>
      <c r="E305" s="20">
        <f>70000</f>
        <v>70000</v>
      </c>
      <c r="F305" s="82"/>
      <c r="G305" s="83"/>
      <c r="H305" s="83"/>
      <c r="I305" s="84"/>
    </row>
    <row r="306" spans="1:9" ht="33" customHeight="1" x14ac:dyDescent="0.3">
      <c r="A306" s="13">
        <v>450600000</v>
      </c>
      <c r="B306" s="51"/>
      <c r="C306" s="81" t="s">
        <v>39</v>
      </c>
      <c r="D306" s="81"/>
      <c r="E306" s="20">
        <f>60000</f>
        <v>60000</v>
      </c>
      <c r="F306" s="82"/>
      <c r="G306" s="83"/>
      <c r="H306" s="83"/>
      <c r="I306" s="84"/>
    </row>
    <row r="307" spans="1:9" ht="33" customHeight="1" x14ac:dyDescent="0.3">
      <c r="A307" s="13">
        <v>454700000</v>
      </c>
      <c r="B307" s="51"/>
      <c r="C307" s="81" t="s">
        <v>66</v>
      </c>
      <c r="D307" s="81"/>
      <c r="E307" s="20">
        <f>50000</f>
        <v>50000</v>
      </c>
      <c r="F307" s="82"/>
      <c r="G307" s="83"/>
      <c r="H307" s="83"/>
      <c r="I307" s="84"/>
    </row>
    <row r="308" spans="1:9" ht="33" customHeight="1" x14ac:dyDescent="0.3">
      <c r="A308" s="13">
        <v>455000000</v>
      </c>
      <c r="B308" s="51"/>
      <c r="C308" s="81" t="s">
        <v>67</v>
      </c>
      <c r="D308" s="81"/>
      <c r="E308" s="20">
        <f>45000</f>
        <v>45000</v>
      </c>
      <c r="F308" s="82"/>
      <c r="G308" s="83"/>
      <c r="H308" s="83"/>
      <c r="I308" s="84"/>
    </row>
    <row r="309" spans="1:9" ht="33" customHeight="1" x14ac:dyDescent="0.3">
      <c r="A309" s="13" t="s">
        <v>156</v>
      </c>
      <c r="B309" s="51"/>
      <c r="C309" s="81" t="s">
        <v>157</v>
      </c>
      <c r="D309" s="81"/>
      <c r="E309" s="20">
        <f>1180000-75000-560000-96000</f>
        <v>449000</v>
      </c>
      <c r="F309" s="82"/>
      <c r="G309" s="83"/>
      <c r="H309" s="83"/>
      <c r="I309" s="84"/>
    </row>
    <row r="310" spans="1:9" ht="33" customHeight="1" x14ac:dyDescent="0.3">
      <c r="A310" s="13">
        <v>452100000</v>
      </c>
      <c r="B310" s="51"/>
      <c r="C310" s="81" t="s">
        <v>49</v>
      </c>
      <c r="D310" s="81"/>
      <c r="E310" s="20">
        <f>120000-40000</f>
        <v>80000</v>
      </c>
      <c r="F310" s="82"/>
      <c r="G310" s="83"/>
      <c r="H310" s="83"/>
      <c r="I310" s="84"/>
    </row>
    <row r="311" spans="1:9" ht="33" customHeight="1" x14ac:dyDescent="0.3">
      <c r="A311" s="13">
        <v>452200000</v>
      </c>
      <c r="B311" s="51"/>
      <c r="C311" s="101" t="s">
        <v>50</v>
      </c>
      <c r="D311" s="102"/>
      <c r="E311" s="20">
        <f>145000-25000</f>
        <v>120000</v>
      </c>
      <c r="F311" s="82"/>
      <c r="G311" s="83"/>
      <c r="H311" s="83"/>
      <c r="I311" s="84"/>
    </row>
    <row r="312" spans="1:9" ht="33" customHeight="1" x14ac:dyDescent="0.3">
      <c r="A312" s="13">
        <v>455700000</v>
      </c>
      <c r="B312" s="51"/>
      <c r="C312" s="81" t="s">
        <v>74</v>
      </c>
      <c r="D312" s="81"/>
      <c r="E312" s="20">
        <f>80000-5000-7000</f>
        <v>68000</v>
      </c>
      <c r="F312" s="82"/>
      <c r="G312" s="83"/>
      <c r="H312" s="83"/>
      <c r="I312" s="84"/>
    </row>
    <row r="313" spans="1:9" ht="33" customHeight="1" x14ac:dyDescent="0.3">
      <c r="A313" s="13">
        <v>457900000</v>
      </c>
      <c r="B313" s="51"/>
      <c r="C313" s="81" t="s">
        <v>20</v>
      </c>
      <c r="D313" s="81"/>
      <c r="E313" s="20">
        <f>825000+80000</f>
        <v>905000</v>
      </c>
      <c r="F313" s="82"/>
      <c r="G313" s="83"/>
      <c r="H313" s="83"/>
      <c r="I313" s="84"/>
    </row>
    <row r="314" spans="1:9" ht="33" customHeight="1" x14ac:dyDescent="0.3">
      <c r="A314" s="13">
        <v>455300000</v>
      </c>
      <c r="B314" s="51"/>
      <c r="C314" s="81" t="s">
        <v>70</v>
      </c>
      <c r="D314" s="81"/>
      <c r="E314" s="20">
        <f>50000</f>
        <v>50000</v>
      </c>
      <c r="F314" s="82"/>
      <c r="G314" s="83"/>
      <c r="H314" s="83"/>
      <c r="I314" s="84"/>
    </row>
    <row r="315" spans="1:9" ht="33" customHeight="1" x14ac:dyDescent="0.3">
      <c r="A315" s="13" t="s">
        <v>163</v>
      </c>
      <c r="B315" s="51"/>
      <c r="C315" s="81" t="s">
        <v>164</v>
      </c>
      <c r="D315" s="81"/>
      <c r="E315" s="20">
        <f>75000</f>
        <v>75000</v>
      </c>
      <c r="F315" s="82"/>
      <c r="G315" s="83"/>
      <c r="H315" s="83"/>
      <c r="I315" s="84"/>
    </row>
    <row r="316" spans="1:9" ht="33" customHeight="1" x14ac:dyDescent="0.3">
      <c r="A316" s="13">
        <v>456500000</v>
      </c>
      <c r="B316" s="51"/>
      <c r="C316" s="81" t="s">
        <v>9</v>
      </c>
      <c r="D316" s="81"/>
      <c r="E316" s="20">
        <f>970000-50000-10000+13000</f>
        <v>923000</v>
      </c>
      <c r="F316" s="82"/>
      <c r="G316" s="83"/>
      <c r="H316" s="83"/>
      <c r="I316" s="84"/>
    </row>
    <row r="317" spans="1:9" ht="33" customHeight="1" x14ac:dyDescent="0.3">
      <c r="A317" s="13">
        <v>453100000</v>
      </c>
      <c r="B317" s="51"/>
      <c r="C317" s="81" t="s">
        <v>58</v>
      </c>
      <c r="D317" s="81"/>
      <c r="E317" s="20">
        <f>150000</f>
        <v>150000</v>
      </c>
      <c r="F317" s="82"/>
      <c r="G317" s="83"/>
      <c r="H317" s="83"/>
      <c r="I317" s="84"/>
    </row>
    <row r="318" spans="1:9" ht="33" customHeight="1" x14ac:dyDescent="0.3">
      <c r="A318" s="13">
        <v>454100000</v>
      </c>
      <c r="B318" s="51"/>
      <c r="C318" s="81" t="s">
        <v>78</v>
      </c>
      <c r="D318" s="81"/>
      <c r="E318" s="20">
        <f>60000-15000+95000</f>
        <v>140000</v>
      </c>
      <c r="F318" s="82"/>
      <c r="G318" s="83"/>
      <c r="H318" s="83"/>
      <c r="I318" s="84"/>
    </row>
    <row r="319" spans="1:9" ht="33" customHeight="1" x14ac:dyDescent="0.3">
      <c r="A319" s="13">
        <v>453700000</v>
      </c>
      <c r="B319" s="51"/>
      <c r="C319" s="81" t="s">
        <v>61</v>
      </c>
      <c r="D319" s="81"/>
      <c r="E319" s="20">
        <f>230000-10000+10000</f>
        <v>230000</v>
      </c>
      <c r="F319" s="82"/>
      <c r="G319" s="83"/>
      <c r="H319" s="83"/>
      <c r="I319" s="84"/>
    </row>
    <row r="320" spans="1:9" ht="33" customHeight="1" x14ac:dyDescent="0.3">
      <c r="A320" s="13">
        <v>458000000</v>
      </c>
      <c r="B320" s="51"/>
      <c r="C320" s="81" t="s">
        <v>100</v>
      </c>
      <c r="D320" s="81"/>
      <c r="E320" s="20">
        <f>300000</f>
        <v>300000</v>
      </c>
      <c r="F320" s="82"/>
      <c r="G320" s="83"/>
      <c r="H320" s="83"/>
      <c r="I320" s="84"/>
    </row>
    <row r="321" spans="1:9" ht="33" customHeight="1" x14ac:dyDescent="0.3">
      <c r="A321" s="13">
        <v>454400000</v>
      </c>
      <c r="B321" s="51"/>
      <c r="C321" s="81" t="s">
        <v>99</v>
      </c>
      <c r="D321" s="81"/>
      <c r="E321" s="20">
        <f>100000</f>
        <v>100000</v>
      </c>
      <c r="F321" s="82"/>
      <c r="G321" s="83"/>
      <c r="H321" s="83"/>
      <c r="I321" s="84"/>
    </row>
    <row r="322" spans="1:9" ht="33" customHeight="1" x14ac:dyDescent="0.3">
      <c r="A322" s="13">
        <v>451600000</v>
      </c>
      <c r="B322" s="51"/>
      <c r="C322" s="81" t="s">
        <v>46</v>
      </c>
      <c r="D322" s="81"/>
      <c r="E322" s="20">
        <f>250000+15000</f>
        <v>265000</v>
      </c>
      <c r="F322" s="82"/>
      <c r="G322" s="83"/>
      <c r="H322" s="83"/>
      <c r="I322" s="84"/>
    </row>
    <row r="323" spans="1:9" ht="33" customHeight="1" x14ac:dyDescent="0.3">
      <c r="A323" s="13">
        <v>450900000</v>
      </c>
      <c r="B323" s="51"/>
      <c r="C323" s="81" t="s">
        <v>41</v>
      </c>
      <c r="D323" s="81"/>
      <c r="E323" s="20">
        <f>335000</f>
        <v>335000</v>
      </c>
      <c r="F323" s="82"/>
      <c r="G323" s="83"/>
      <c r="H323" s="83"/>
      <c r="I323" s="84"/>
    </row>
    <row r="324" spans="1:9" ht="33" customHeight="1" x14ac:dyDescent="0.3">
      <c r="A324" s="13">
        <v>451000000</v>
      </c>
      <c r="B324" s="51"/>
      <c r="C324" s="81" t="s">
        <v>42</v>
      </c>
      <c r="D324" s="81"/>
      <c r="E324" s="20">
        <f>80000</f>
        <v>80000</v>
      </c>
      <c r="F324" s="82"/>
      <c r="G324" s="83"/>
      <c r="H324" s="83"/>
      <c r="I324" s="84"/>
    </row>
    <row r="325" spans="1:9" ht="33" customHeight="1" x14ac:dyDescent="0.3">
      <c r="A325" s="13">
        <v>453200000</v>
      </c>
      <c r="B325" s="51"/>
      <c r="C325" s="81" t="s">
        <v>59</v>
      </c>
      <c r="D325" s="81"/>
      <c r="E325" s="20">
        <f>45000</f>
        <v>45000</v>
      </c>
      <c r="F325" s="82"/>
      <c r="G325" s="83"/>
      <c r="H325" s="83"/>
      <c r="I325" s="84"/>
    </row>
    <row r="326" spans="1:9" ht="33" customHeight="1" x14ac:dyDescent="0.3">
      <c r="A326" s="13">
        <v>451100000</v>
      </c>
      <c r="B326" s="51"/>
      <c r="C326" s="81" t="s">
        <v>79</v>
      </c>
      <c r="D326" s="81"/>
      <c r="E326" s="20">
        <f>1100000-100000-100000</f>
        <v>900000</v>
      </c>
      <c r="F326" s="82"/>
      <c r="G326" s="83"/>
      <c r="H326" s="83"/>
      <c r="I326" s="84"/>
    </row>
    <row r="327" spans="1:9" ht="33" customHeight="1" x14ac:dyDescent="0.3">
      <c r="A327" s="32" t="s">
        <v>253</v>
      </c>
      <c r="B327" s="53"/>
      <c r="C327" s="101" t="s">
        <v>254</v>
      </c>
      <c r="D327" s="102"/>
      <c r="E327" s="20">
        <f>380000-75000</f>
        <v>305000</v>
      </c>
      <c r="F327" s="82"/>
      <c r="G327" s="83"/>
      <c r="H327" s="83"/>
      <c r="I327" s="84"/>
    </row>
    <row r="328" spans="1:9" ht="33" customHeight="1" x14ac:dyDescent="0.3">
      <c r="A328" s="13">
        <v>458300000</v>
      </c>
      <c r="B328" s="51"/>
      <c r="C328" s="81" t="s">
        <v>23</v>
      </c>
      <c r="D328" s="81"/>
      <c r="E328" s="20">
        <f>295000</f>
        <v>295000</v>
      </c>
      <c r="F328" s="82"/>
      <c r="G328" s="83"/>
      <c r="H328" s="83"/>
      <c r="I328" s="84"/>
    </row>
    <row r="329" spans="1:9" ht="33" customHeight="1" x14ac:dyDescent="0.3">
      <c r="A329" s="13">
        <v>451200000</v>
      </c>
      <c r="B329" s="51"/>
      <c r="C329" s="81" t="s">
        <v>43</v>
      </c>
      <c r="D329" s="81"/>
      <c r="E329" s="20">
        <f>200000</f>
        <v>200000</v>
      </c>
      <c r="F329" s="82"/>
      <c r="G329" s="83"/>
      <c r="H329" s="83"/>
      <c r="I329" s="84"/>
    </row>
    <row r="330" spans="1:9" ht="33" customHeight="1" x14ac:dyDescent="0.3">
      <c r="A330" s="13">
        <v>456600000</v>
      </c>
      <c r="B330" s="51"/>
      <c r="C330" s="81" t="s">
        <v>10</v>
      </c>
      <c r="D330" s="81"/>
      <c r="E330" s="20">
        <f>230000-100000-20000</f>
        <v>110000</v>
      </c>
      <c r="F330" s="82"/>
      <c r="G330" s="83"/>
      <c r="H330" s="83"/>
      <c r="I330" s="84"/>
    </row>
    <row r="331" spans="1:9" ht="33" customHeight="1" x14ac:dyDescent="0.3">
      <c r="A331" s="13">
        <v>455800000</v>
      </c>
      <c r="B331" s="51"/>
      <c r="C331" s="81" t="s">
        <v>75</v>
      </c>
      <c r="D331" s="81"/>
      <c r="E331" s="20">
        <f>140000-10000+10000+14000</f>
        <v>154000</v>
      </c>
      <c r="F331" s="82"/>
      <c r="G331" s="83"/>
      <c r="H331" s="83"/>
      <c r="I331" s="84"/>
    </row>
    <row r="332" spans="1:9" ht="33" customHeight="1" x14ac:dyDescent="0.3">
      <c r="A332" s="13">
        <v>453900000</v>
      </c>
      <c r="B332" s="51"/>
      <c r="C332" s="81" t="s">
        <v>77</v>
      </c>
      <c r="D332" s="81"/>
      <c r="E332" s="20">
        <f>335000</f>
        <v>335000</v>
      </c>
      <c r="F332" s="82"/>
      <c r="G332" s="83"/>
      <c r="H332" s="83"/>
      <c r="I332" s="84"/>
    </row>
    <row r="333" spans="1:9" ht="33" customHeight="1" x14ac:dyDescent="0.3">
      <c r="A333" s="13">
        <v>454300000</v>
      </c>
      <c r="B333" s="51"/>
      <c r="C333" s="81" t="s">
        <v>64</v>
      </c>
      <c r="D333" s="81"/>
      <c r="E333" s="20">
        <f>335000+20000</f>
        <v>355000</v>
      </c>
      <c r="F333" s="82"/>
      <c r="G333" s="83"/>
      <c r="H333" s="83"/>
      <c r="I333" s="84"/>
    </row>
    <row r="334" spans="1:9" ht="33" customHeight="1" x14ac:dyDescent="0.3">
      <c r="A334" s="13">
        <v>458600000</v>
      </c>
      <c r="B334" s="51"/>
      <c r="C334" s="81" t="s">
        <v>26</v>
      </c>
      <c r="D334" s="81"/>
      <c r="E334" s="20">
        <f>480000-10000</f>
        <v>470000</v>
      </c>
      <c r="F334" s="82"/>
      <c r="G334" s="83"/>
      <c r="H334" s="83"/>
      <c r="I334" s="84"/>
    </row>
    <row r="335" spans="1:9" ht="33" customHeight="1" x14ac:dyDescent="0.3">
      <c r="A335" s="13">
        <v>456800000</v>
      </c>
      <c r="B335" s="51"/>
      <c r="C335" s="81" t="s">
        <v>12</v>
      </c>
      <c r="D335" s="81"/>
      <c r="E335" s="20">
        <f>300000+25000</f>
        <v>325000</v>
      </c>
      <c r="F335" s="82"/>
      <c r="G335" s="83"/>
      <c r="H335" s="83"/>
      <c r="I335" s="84"/>
    </row>
    <row r="336" spans="1:9" ht="33" customHeight="1" x14ac:dyDescent="0.3">
      <c r="A336" s="13">
        <v>455900000</v>
      </c>
      <c r="B336" s="51"/>
      <c r="C336" s="81" t="s">
        <v>76</v>
      </c>
      <c r="D336" s="81"/>
      <c r="E336" s="20">
        <f>600000</f>
        <v>600000</v>
      </c>
      <c r="F336" s="82"/>
      <c r="G336" s="83"/>
      <c r="H336" s="83"/>
      <c r="I336" s="84"/>
    </row>
    <row r="337" spans="1:9" ht="33" customHeight="1" x14ac:dyDescent="0.3">
      <c r="A337" s="13">
        <v>452300000</v>
      </c>
      <c r="B337" s="51"/>
      <c r="C337" s="81" t="s">
        <v>51</v>
      </c>
      <c r="D337" s="81"/>
      <c r="E337" s="20">
        <f>500000-10000+5000</f>
        <v>495000</v>
      </c>
      <c r="F337" s="82"/>
      <c r="G337" s="83"/>
      <c r="H337" s="83"/>
      <c r="I337" s="84"/>
    </row>
    <row r="338" spans="1:9" ht="33" customHeight="1" x14ac:dyDescent="0.3">
      <c r="A338" s="13">
        <v>458700000</v>
      </c>
      <c r="B338" s="51"/>
      <c r="C338" s="81" t="s">
        <v>27</v>
      </c>
      <c r="D338" s="81"/>
      <c r="E338" s="20">
        <f>340000+15000+261000</f>
        <v>616000</v>
      </c>
      <c r="F338" s="82"/>
      <c r="G338" s="83"/>
      <c r="H338" s="83"/>
      <c r="I338" s="84"/>
    </row>
    <row r="339" spans="1:9" ht="33" customHeight="1" x14ac:dyDescent="0.3">
      <c r="A339" s="13">
        <v>458800000</v>
      </c>
      <c r="B339" s="51"/>
      <c r="C339" s="81" t="s">
        <v>28</v>
      </c>
      <c r="D339" s="81"/>
      <c r="E339" s="20">
        <f>250000-20000-75000</f>
        <v>155000</v>
      </c>
      <c r="F339" s="82"/>
      <c r="G339" s="83"/>
      <c r="H339" s="83"/>
      <c r="I339" s="84"/>
    </row>
    <row r="340" spans="1:9" ht="33" customHeight="1" x14ac:dyDescent="0.3">
      <c r="A340" s="13">
        <v>454600000</v>
      </c>
      <c r="B340" s="51"/>
      <c r="C340" s="81" t="s">
        <v>65</v>
      </c>
      <c r="D340" s="81"/>
      <c r="E340" s="20">
        <f>170000-120000+10000</f>
        <v>60000</v>
      </c>
      <c r="F340" s="82"/>
      <c r="G340" s="83"/>
      <c r="H340" s="83"/>
      <c r="I340" s="84"/>
    </row>
    <row r="341" spans="1:9" ht="33" customHeight="1" x14ac:dyDescent="0.3">
      <c r="A341" s="13">
        <v>452400000</v>
      </c>
      <c r="B341" s="51"/>
      <c r="C341" s="81" t="s">
        <v>52</v>
      </c>
      <c r="D341" s="81"/>
      <c r="E341" s="20">
        <f>30000-10000</f>
        <v>20000</v>
      </c>
      <c r="F341" s="82"/>
      <c r="G341" s="83"/>
      <c r="H341" s="83"/>
      <c r="I341" s="84"/>
    </row>
    <row r="342" spans="1:9" ht="33" customHeight="1" x14ac:dyDescent="0.3">
      <c r="A342" s="13">
        <v>455500000</v>
      </c>
      <c r="B342" s="51"/>
      <c r="C342" s="81" t="s">
        <v>72</v>
      </c>
      <c r="D342" s="81"/>
      <c r="E342" s="20">
        <f>70000+50000</f>
        <v>120000</v>
      </c>
      <c r="F342" s="82"/>
      <c r="G342" s="83"/>
      <c r="H342" s="83"/>
      <c r="I342" s="84"/>
    </row>
    <row r="343" spans="1:9" ht="33" customHeight="1" x14ac:dyDescent="0.3">
      <c r="A343" s="13">
        <v>450400000</v>
      </c>
      <c r="B343" s="51"/>
      <c r="C343" s="81" t="s">
        <v>37</v>
      </c>
      <c r="D343" s="81"/>
      <c r="E343" s="20">
        <f>100000</f>
        <v>100000</v>
      </c>
      <c r="F343" s="82"/>
      <c r="G343" s="83"/>
      <c r="H343" s="83"/>
      <c r="I343" s="84"/>
    </row>
    <row r="344" spans="1:9" ht="33" customHeight="1" x14ac:dyDescent="0.3">
      <c r="A344" s="13">
        <v>454800000</v>
      </c>
      <c r="B344" s="51"/>
      <c r="C344" s="81" t="s">
        <v>209</v>
      </c>
      <c r="D344" s="81"/>
      <c r="E344" s="20">
        <f>30000-10000</f>
        <v>20000</v>
      </c>
      <c r="F344" s="82"/>
      <c r="G344" s="83"/>
      <c r="H344" s="83"/>
      <c r="I344" s="84"/>
    </row>
    <row r="345" spans="1:9" s="2" customFormat="1" ht="33" customHeight="1" x14ac:dyDescent="0.3">
      <c r="A345" s="13">
        <v>459000000</v>
      </c>
      <c r="B345" s="51"/>
      <c r="C345" s="81" t="s">
        <v>124</v>
      </c>
      <c r="D345" s="81"/>
      <c r="E345" s="20">
        <f>90000-10000</f>
        <v>80000</v>
      </c>
      <c r="F345" s="82"/>
      <c r="G345" s="83"/>
      <c r="H345" s="83"/>
      <c r="I345" s="84"/>
    </row>
    <row r="346" spans="1:9" s="2" customFormat="1" ht="33" customHeight="1" x14ac:dyDescent="0.3">
      <c r="A346" s="13">
        <v>451300000</v>
      </c>
      <c r="B346" s="51"/>
      <c r="C346" s="81" t="s">
        <v>44</v>
      </c>
      <c r="D346" s="81"/>
      <c r="E346" s="20">
        <f>130000</f>
        <v>130000</v>
      </c>
      <c r="F346" s="82"/>
      <c r="G346" s="83"/>
      <c r="H346" s="83"/>
      <c r="I346" s="84"/>
    </row>
    <row r="347" spans="1:9" s="2" customFormat="1" ht="33" customHeight="1" x14ac:dyDescent="0.3">
      <c r="A347" s="13">
        <v>451400000</v>
      </c>
      <c r="B347" s="51"/>
      <c r="C347" s="81" t="s">
        <v>191</v>
      </c>
      <c r="D347" s="81"/>
      <c r="E347" s="20">
        <f>450000-200000+30000</f>
        <v>280000</v>
      </c>
      <c r="F347" s="82"/>
      <c r="G347" s="83"/>
      <c r="H347" s="83"/>
      <c r="I347" s="84"/>
    </row>
    <row r="348" spans="1:9" s="2" customFormat="1" ht="33" customHeight="1" x14ac:dyDescent="0.3">
      <c r="A348" s="13">
        <v>452600000</v>
      </c>
      <c r="B348" s="51"/>
      <c r="C348" s="81" t="s">
        <v>54</v>
      </c>
      <c r="D348" s="81"/>
      <c r="E348" s="20">
        <f>170000</f>
        <v>170000</v>
      </c>
      <c r="F348" s="82"/>
      <c r="G348" s="83"/>
      <c r="H348" s="83"/>
      <c r="I348" s="84"/>
    </row>
    <row r="349" spans="1:9" s="2" customFormat="1" ht="33" customHeight="1" x14ac:dyDescent="0.3">
      <c r="A349" s="13">
        <v>454200000</v>
      </c>
      <c r="B349" s="51"/>
      <c r="C349" s="81" t="s">
        <v>63</v>
      </c>
      <c r="D349" s="81"/>
      <c r="E349" s="20">
        <f>80000-25000-5000</f>
        <v>50000</v>
      </c>
      <c r="F349" s="82"/>
      <c r="G349" s="83"/>
      <c r="H349" s="83"/>
      <c r="I349" s="84"/>
    </row>
    <row r="350" spans="1:9" s="2" customFormat="1" ht="33" customHeight="1" x14ac:dyDescent="0.3">
      <c r="A350" s="13">
        <v>455400000</v>
      </c>
      <c r="B350" s="51"/>
      <c r="C350" s="81" t="s">
        <v>71</v>
      </c>
      <c r="D350" s="81"/>
      <c r="E350" s="20">
        <f>80000</f>
        <v>80000</v>
      </c>
      <c r="F350" s="82"/>
      <c r="G350" s="83"/>
      <c r="H350" s="83"/>
      <c r="I350" s="84"/>
    </row>
    <row r="351" spans="1:9" s="2" customFormat="1" ht="33" customHeight="1" x14ac:dyDescent="0.3">
      <c r="A351" s="13">
        <v>452700000</v>
      </c>
      <c r="B351" s="51"/>
      <c r="C351" s="81" t="s">
        <v>55</v>
      </c>
      <c r="D351" s="81"/>
      <c r="E351" s="20">
        <f>915000-80000</f>
        <v>835000</v>
      </c>
      <c r="F351" s="82"/>
      <c r="G351" s="83"/>
      <c r="H351" s="83"/>
      <c r="I351" s="84"/>
    </row>
    <row r="352" spans="1:9" s="2" customFormat="1" ht="33" customHeight="1" x14ac:dyDescent="0.3">
      <c r="A352" s="13">
        <v>454000000</v>
      </c>
      <c r="B352" s="51"/>
      <c r="C352" s="81" t="s">
        <v>62</v>
      </c>
      <c r="D352" s="81"/>
      <c r="E352" s="20">
        <f>335000</f>
        <v>335000</v>
      </c>
      <c r="F352" s="82"/>
      <c r="G352" s="83"/>
      <c r="H352" s="83"/>
      <c r="I352" s="84"/>
    </row>
    <row r="353" spans="1:9" s="2" customFormat="1" ht="33" customHeight="1" x14ac:dyDescent="0.3">
      <c r="A353" s="13">
        <v>457000000</v>
      </c>
      <c r="B353" s="51"/>
      <c r="C353" s="81" t="s">
        <v>13</v>
      </c>
      <c r="D353" s="81"/>
      <c r="E353" s="20">
        <f>30000-10000-7000</f>
        <v>13000</v>
      </c>
      <c r="F353" s="82"/>
      <c r="G353" s="83"/>
      <c r="H353" s="83"/>
      <c r="I353" s="84"/>
    </row>
    <row r="354" spans="1:9" s="2" customFormat="1" ht="33" customHeight="1" x14ac:dyDescent="0.3">
      <c r="A354" s="13">
        <v>456700000</v>
      </c>
      <c r="B354" s="51"/>
      <c r="C354" s="81" t="s">
        <v>11</v>
      </c>
      <c r="D354" s="81"/>
      <c r="E354" s="20">
        <f>30000-10000</f>
        <v>20000</v>
      </c>
      <c r="F354" s="82"/>
      <c r="G354" s="83"/>
      <c r="H354" s="83"/>
      <c r="I354" s="84"/>
    </row>
    <row r="355" spans="1:9" s="2" customFormat="1" ht="33" customHeight="1" x14ac:dyDescent="0.3">
      <c r="A355" s="13">
        <v>456000000</v>
      </c>
      <c r="B355" s="51"/>
      <c r="C355" s="81" t="s">
        <v>198</v>
      </c>
      <c r="D355" s="81"/>
      <c r="E355" s="20">
        <f>150000-90000</f>
        <v>60000</v>
      </c>
      <c r="F355" s="82"/>
      <c r="G355" s="83"/>
      <c r="H355" s="83"/>
      <c r="I355" s="84"/>
    </row>
    <row r="356" spans="1:9" s="2" customFormat="1" ht="33" customHeight="1" x14ac:dyDescent="0.3">
      <c r="A356" s="13">
        <v>455100000</v>
      </c>
      <c r="B356" s="51"/>
      <c r="C356" s="81" t="s">
        <v>68</v>
      </c>
      <c r="D356" s="81"/>
      <c r="E356" s="20">
        <f>275000</f>
        <v>275000</v>
      </c>
      <c r="F356" s="82"/>
      <c r="G356" s="83"/>
      <c r="H356" s="83"/>
      <c r="I356" s="84"/>
    </row>
    <row r="357" spans="1:9" s="2" customFormat="1" ht="33" customHeight="1" x14ac:dyDescent="0.3">
      <c r="A357" s="13">
        <v>455200000</v>
      </c>
      <c r="B357" s="51"/>
      <c r="C357" s="81" t="s">
        <v>69</v>
      </c>
      <c r="D357" s="81"/>
      <c r="E357" s="20">
        <f>30000-5000+895000+300000</f>
        <v>1220000</v>
      </c>
      <c r="F357" s="82"/>
      <c r="G357" s="83"/>
      <c r="H357" s="83"/>
      <c r="I357" s="84"/>
    </row>
    <row r="358" spans="1:9" s="4" customFormat="1" ht="33" customHeight="1" x14ac:dyDescent="0.3">
      <c r="A358" s="85" t="s">
        <v>80</v>
      </c>
      <c r="B358" s="85"/>
      <c r="C358" s="85"/>
      <c r="D358" s="85"/>
      <c r="E358" s="19">
        <f>SUM(E288:E357)</f>
        <v>18548000</v>
      </c>
      <c r="F358" s="86"/>
      <c r="G358" s="87"/>
      <c r="H358" s="87"/>
      <c r="I358" s="88"/>
    </row>
    <row r="359" spans="1:9" s="8" customFormat="1" ht="64.5" customHeight="1" x14ac:dyDescent="0.3">
      <c r="A359" s="52" t="s">
        <v>120</v>
      </c>
      <c r="B359" s="53">
        <v>9770</v>
      </c>
      <c r="C359" s="106" t="s">
        <v>211</v>
      </c>
      <c r="D359" s="106"/>
      <c r="E359" s="22">
        <f>SUM(E367)</f>
        <v>3500000</v>
      </c>
      <c r="F359" s="86" t="s">
        <v>274</v>
      </c>
      <c r="G359" s="87"/>
      <c r="H359" s="87"/>
      <c r="I359" s="88"/>
    </row>
    <row r="360" spans="1:9" ht="33" customHeight="1" x14ac:dyDescent="0.3">
      <c r="A360" s="13" t="s">
        <v>220</v>
      </c>
      <c r="B360" s="51"/>
      <c r="C360" s="81" t="s">
        <v>212</v>
      </c>
      <c r="D360" s="81"/>
      <c r="E360" s="20">
        <f>F360</f>
        <v>500000</v>
      </c>
      <c r="F360" s="98">
        <f t="shared" ref="F360:F366" si="13">500000</f>
        <v>500000</v>
      </c>
      <c r="G360" s="99"/>
      <c r="H360" s="99"/>
      <c r="I360" s="100"/>
    </row>
    <row r="361" spans="1:9" ht="33" customHeight="1" x14ac:dyDescent="0.3">
      <c r="A361" s="13" t="s">
        <v>226</v>
      </c>
      <c r="B361" s="51"/>
      <c r="C361" s="81" t="s">
        <v>218</v>
      </c>
      <c r="D361" s="81"/>
      <c r="E361" s="20">
        <f t="shared" ref="E361:E367" si="14">F361</f>
        <v>500000</v>
      </c>
      <c r="F361" s="98">
        <f t="shared" si="13"/>
        <v>500000</v>
      </c>
      <c r="G361" s="99"/>
      <c r="H361" s="99"/>
      <c r="I361" s="100"/>
    </row>
    <row r="362" spans="1:9" ht="33" customHeight="1" x14ac:dyDescent="0.3">
      <c r="A362" s="13" t="s">
        <v>221</v>
      </c>
      <c r="B362" s="51"/>
      <c r="C362" s="81" t="s">
        <v>213</v>
      </c>
      <c r="D362" s="81"/>
      <c r="E362" s="20">
        <f t="shared" si="14"/>
        <v>500000</v>
      </c>
      <c r="F362" s="98">
        <f t="shared" si="13"/>
        <v>500000</v>
      </c>
      <c r="G362" s="99"/>
      <c r="H362" s="99"/>
      <c r="I362" s="100"/>
    </row>
    <row r="363" spans="1:9" ht="33" customHeight="1" x14ac:dyDescent="0.3">
      <c r="A363" s="13" t="s">
        <v>222</v>
      </c>
      <c r="B363" s="51"/>
      <c r="C363" s="81" t="s">
        <v>214</v>
      </c>
      <c r="D363" s="81"/>
      <c r="E363" s="20">
        <f t="shared" si="14"/>
        <v>500000</v>
      </c>
      <c r="F363" s="98">
        <f t="shared" si="13"/>
        <v>500000</v>
      </c>
      <c r="G363" s="99"/>
      <c r="H363" s="99"/>
      <c r="I363" s="100"/>
    </row>
    <row r="364" spans="1:9" ht="33" customHeight="1" x14ac:dyDescent="0.3">
      <c r="A364" s="13" t="s">
        <v>223</v>
      </c>
      <c r="B364" s="51"/>
      <c r="C364" s="81" t="s">
        <v>215</v>
      </c>
      <c r="D364" s="81"/>
      <c r="E364" s="20">
        <f t="shared" si="14"/>
        <v>500000</v>
      </c>
      <c r="F364" s="98">
        <f t="shared" si="13"/>
        <v>500000</v>
      </c>
      <c r="G364" s="99"/>
      <c r="H364" s="99"/>
      <c r="I364" s="100"/>
    </row>
    <row r="365" spans="1:9" ht="33" customHeight="1" x14ac:dyDescent="0.3">
      <c r="A365" s="13" t="s">
        <v>224</v>
      </c>
      <c r="B365" s="51"/>
      <c r="C365" s="81" t="s">
        <v>216</v>
      </c>
      <c r="D365" s="81"/>
      <c r="E365" s="20">
        <f t="shared" si="14"/>
        <v>500000</v>
      </c>
      <c r="F365" s="98">
        <f t="shared" si="13"/>
        <v>500000</v>
      </c>
      <c r="G365" s="99"/>
      <c r="H365" s="99"/>
      <c r="I365" s="100"/>
    </row>
    <row r="366" spans="1:9" ht="33" customHeight="1" x14ac:dyDescent="0.3">
      <c r="A366" s="13" t="s">
        <v>225</v>
      </c>
      <c r="B366" s="51"/>
      <c r="C366" s="81" t="s">
        <v>217</v>
      </c>
      <c r="D366" s="81"/>
      <c r="E366" s="20">
        <f t="shared" si="14"/>
        <v>500000</v>
      </c>
      <c r="F366" s="98">
        <f t="shared" si="13"/>
        <v>500000</v>
      </c>
      <c r="G366" s="99"/>
      <c r="H366" s="99"/>
      <c r="I366" s="100"/>
    </row>
    <row r="367" spans="1:9" ht="33" customHeight="1" x14ac:dyDescent="0.3">
      <c r="A367" s="85" t="s">
        <v>219</v>
      </c>
      <c r="B367" s="85"/>
      <c r="C367" s="85"/>
      <c r="D367" s="85"/>
      <c r="E367" s="19">
        <f t="shared" si="14"/>
        <v>3500000</v>
      </c>
      <c r="F367" s="93">
        <f>SUM(F360:I366)</f>
        <v>3500000</v>
      </c>
      <c r="G367" s="94"/>
      <c r="H367" s="94"/>
      <c r="I367" s="95"/>
    </row>
    <row r="368" spans="1:9" s="8" customFormat="1" ht="70.5" customHeight="1" x14ac:dyDescent="0.3">
      <c r="A368" s="52" t="s">
        <v>205</v>
      </c>
      <c r="B368" s="53">
        <v>9770</v>
      </c>
      <c r="C368" s="109" t="s">
        <v>206</v>
      </c>
      <c r="D368" s="110"/>
      <c r="E368" s="22">
        <f>E369</f>
        <v>4663622</v>
      </c>
      <c r="F368" s="93"/>
      <c r="G368" s="94"/>
      <c r="H368" s="94"/>
      <c r="I368" s="95"/>
    </row>
    <row r="369" spans="1:9" s="8" customFormat="1" ht="32.25" customHeight="1" x14ac:dyDescent="0.3">
      <c r="A369" s="13">
        <v>457810000</v>
      </c>
      <c r="B369" s="51"/>
      <c r="C369" s="81" t="s">
        <v>19</v>
      </c>
      <c r="D369" s="81"/>
      <c r="E369" s="23">
        <f>3850000+813622</f>
        <v>4663622</v>
      </c>
      <c r="F369" s="93"/>
      <c r="G369" s="94"/>
      <c r="H369" s="94"/>
      <c r="I369" s="95"/>
    </row>
    <row r="370" spans="1:9" s="8" customFormat="1" ht="70.5" customHeight="1" x14ac:dyDescent="0.3">
      <c r="A370" s="52" t="s">
        <v>205</v>
      </c>
      <c r="B370" s="53">
        <v>9770</v>
      </c>
      <c r="C370" s="109" t="s">
        <v>272</v>
      </c>
      <c r="D370" s="110"/>
      <c r="E370" s="22">
        <f>E372+E379</f>
        <v>10410491</v>
      </c>
      <c r="F370" s="93"/>
      <c r="G370" s="94"/>
      <c r="H370" s="94"/>
      <c r="I370" s="95"/>
    </row>
    <row r="371" spans="1:9" ht="33" customHeight="1" x14ac:dyDescent="0.3">
      <c r="A371" s="13">
        <v>459100000</v>
      </c>
      <c r="B371" s="51"/>
      <c r="C371" s="81" t="s">
        <v>30</v>
      </c>
      <c r="D371" s="81"/>
      <c r="E371" s="20">
        <f>2000000</f>
        <v>2000000</v>
      </c>
      <c r="F371" s="82"/>
      <c r="G371" s="83"/>
      <c r="H371" s="83"/>
      <c r="I371" s="84"/>
    </row>
    <row r="372" spans="1:9" s="8" customFormat="1" ht="33" customHeight="1" x14ac:dyDescent="0.3">
      <c r="A372" s="85" t="s">
        <v>97</v>
      </c>
      <c r="B372" s="85"/>
      <c r="C372" s="85"/>
      <c r="D372" s="85"/>
      <c r="E372" s="19">
        <f>SUM(E371)</f>
        <v>2000000</v>
      </c>
      <c r="F372" s="86"/>
      <c r="G372" s="87"/>
      <c r="H372" s="87"/>
      <c r="I372" s="88"/>
    </row>
    <row r="373" spans="1:9" ht="33" customHeight="1" x14ac:dyDescent="0.3">
      <c r="A373" s="13">
        <v>450700000</v>
      </c>
      <c r="B373" s="51"/>
      <c r="C373" s="81" t="s">
        <v>40</v>
      </c>
      <c r="D373" s="81"/>
      <c r="E373" s="20">
        <f>1195528</f>
        <v>1195528</v>
      </c>
      <c r="F373" s="82"/>
      <c r="G373" s="83"/>
      <c r="H373" s="83"/>
      <c r="I373" s="84"/>
    </row>
    <row r="374" spans="1:9" ht="33" customHeight="1" x14ac:dyDescent="0.3">
      <c r="A374" s="13">
        <v>454100000</v>
      </c>
      <c r="B374" s="51"/>
      <c r="C374" s="81" t="s">
        <v>78</v>
      </c>
      <c r="D374" s="81"/>
      <c r="E374" s="20">
        <f>173700</f>
        <v>173700</v>
      </c>
      <c r="F374" s="82"/>
      <c r="G374" s="83"/>
      <c r="H374" s="83"/>
      <c r="I374" s="84"/>
    </row>
    <row r="375" spans="1:9" ht="33" customHeight="1" x14ac:dyDescent="0.3">
      <c r="A375" s="13">
        <v>453700000</v>
      </c>
      <c r="B375" s="51"/>
      <c r="C375" s="81" t="s">
        <v>61</v>
      </c>
      <c r="D375" s="81"/>
      <c r="E375" s="20">
        <f>2303040</f>
        <v>2303040</v>
      </c>
      <c r="F375" s="82"/>
      <c r="G375" s="83"/>
      <c r="H375" s="83"/>
      <c r="I375" s="84"/>
    </row>
    <row r="376" spans="1:9" ht="33" customHeight="1" x14ac:dyDescent="0.3">
      <c r="A376" s="13">
        <v>451600000</v>
      </c>
      <c r="B376" s="51"/>
      <c r="C376" s="81" t="s">
        <v>46</v>
      </c>
      <c r="D376" s="81"/>
      <c r="E376" s="20">
        <f>450000</f>
        <v>450000</v>
      </c>
      <c r="F376" s="82"/>
      <c r="G376" s="83"/>
      <c r="H376" s="83"/>
      <c r="I376" s="84"/>
    </row>
    <row r="377" spans="1:9" ht="33" customHeight="1" x14ac:dyDescent="0.3">
      <c r="A377" s="13">
        <v>451200000</v>
      </c>
      <c r="B377" s="51"/>
      <c r="C377" s="81" t="s">
        <v>43</v>
      </c>
      <c r="D377" s="81"/>
      <c r="E377" s="20">
        <f>1621223</f>
        <v>1621223</v>
      </c>
      <c r="F377" s="82"/>
      <c r="G377" s="83"/>
      <c r="H377" s="83"/>
      <c r="I377" s="84"/>
    </row>
    <row r="378" spans="1:9" s="2" customFormat="1" ht="33" customHeight="1" x14ac:dyDescent="0.3">
      <c r="A378" s="13">
        <v>455200000</v>
      </c>
      <c r="B378" s="51"/>
      <c r="C378" s="81" t="s">
        <v>69</v>
      </c>
      <c r="D378" s="81"/>
      <c r="E378" s="20">
        <f>2667000</f>
        <v>2667000</v>
      </c>
      <c r="F378" s="82"/>
      <c r="G378" s="83"/>
      <c r="H378" s="83"/>
      <c r="I378" s="84"/>
    </row>
    <row r="379" spans="1:9" s="4" customFormat="1" ht="33" customHeight="1" x14ac:dyDescent="0.3">
      <c r="A379" s="85" t="s">
        <v>80</v>
      </c>
      <c r="B379" s="85"/>
      <c r="C379" s="85"/>
      <c r="D379" s="85"/>
      <c r="E379" s="19">
        <f>SUM(E373:E378)</f>
        <v>8410491</v>
      </c>
      <c r="F379" s="86"/>
      <c r="G379" s="87"/>
      <c r="H379" s="87"/>
      <c r="I379" s="88"/>
    </row>
    <row r="380" spans="1:9" ht="42.75" customHeight="1" x14ac:dyDescent="0.3">
      <c r="A380" s="49" t="s">
        <v>90</v>
      </c>
      <c r="B380" s="53">
        <v>9770</v>
      </c>
      <c r="C380" s="109" t="s">
        <v>123</v>
      </c>
      <c r="D380" s="110"/>
      <c r="E380" s="19">
        <f>E394+E459</f>
        <v>4968960</v>
      </c>
      <c r="F380" s="82"/>
      <c r="G380" s="83"/>
      <c r="H380" s="83"/>
      <c r="I380" s="84"/>
    </row>
    <row r="381" spans="1:9" ht="33" customHeight="1" x14ac:dyDescent="0.3">
      <c r="A381" s="13">
        <v>457400000</v>
      </c>
      <c r="B381" s="51"/>
      <c r="C381" s="101" t="s">
        <v>15</v>
      </c>
      <c r="D381" s="102"/>
      <c r="E381" s="20">
        <f>17127+4224</f>
        <v>21351</v>
      </c>
      <c r="F381" s="82"/>
      <c r="G381" s="83"/>
      <c r="H381" s="83"/>
      <c r="I381" s="84"/>
    </row>
    <row r="382" spans="1:9" ht="33" customHeight="1" x14ac:dyDescent="0.3">
      <c r="A382" s="13">
        <v>457600000</v>
      </c>
      <c r="B382" s="51"/>
      <c r="C382" s="81" t="s">
        <v>17</v>
      </c>
      <c r="D382" s="81"/>
      <c r="E382" s="20">
        <f>1645670+404026</f>
        <v>2049696</v>
      </c>
      <c r="F382" s="82"/>
      <c r="G382" s="83"/>
      <c r="H382" s="83"/>
      <c r="I382" s="84"/>
    </row>
    <row r="383" spans="1:9" ht="33" customHeight="1" x14ac:dyDescent="0.3">
      <c r="A383" s="13">
        <v>457700000</v>
      </c>
      <c r="B383" s="51"/>
      <c r="C383" s="81" t="s">
        <v>18</v>
      </c>
      <c r="D383" s="81"/>
      <c r="E383" s="20">
        <f>68508+16896</f>
        <v>85404</v>
      </c>
      <c r="F383" s="82"/>
      <c r="G383" s="83"/>
      <c r="H383" s="83"/>
      <c r="I383" s="84"/>
    </row>
    <row r="384" spans="1:9" ht="33" customHeight="1" x14ac:dyDescent="0.3">
      <c r="A384" s="13">
        <v>457100000</v>
      </c>
      <c r="B384" s="51"/>
      <c r="C384" s="81" t="s">
        <v>125</v>
      </c>
      <c r="D384" s="81"/>
      <c r="E384" s="20">
        <f>51381+14208+4287+64053</f>
        <v>133929</v>
      </c>
      <c r="F384" s="82"/>
      <c r="G384" s="83"/>
      <c r="H384" s="83"/>
      <c r="I384" s="84"/>
    </row>
    <row r="385" spans="1:9" ht="33" customHeight="1" x14ac:dyDescent="0.3">
      <c r="A385" s="13">
        <v>457810000</v>
      </c>
      <c r="B385" s="51"/>
      <c r="C385" s="81" t="s">
        <v>19</v>
      </c>
      <c r="D385" s="81"/>
      <c r="E385" s="20">
        <f>878148+216576</f>
        <v>1094724</v>
      </c>
      <c r="F385" s="82"/>
      <c r="G385" s="83"/>
      <c r="H385" s="83"/>
      <c r="I385" s="84"/>
    </row>
    <row r="386" spans="1:9" ht="33" customHeight="1" x14ac:dyDescent="0.3">
      <c r="A386" s="13">
        <v>456100000</v>
      </c>
      <c r="B386" s="51"/>
      <c r="C386" s="81" t="s">
        <v>31</v>
      </c>
      <c r="D386" s="81"/>
      <c r="E386" s="20">
        <f>35811+8832</f>
        <v>44643</v>
      </c>
      <c r="F386" s="82"/>
      <c r="G386" s="83"/>
      <c r="H386" s="83"/>
      <c r="I386" s="84"/>
    </row>
    <row r="387" spans="1:9" ht="33" customHeight="1" x14ac:dyDescent="0.3">
      <c r="A387" s="13">
        <v>458100000</v>
      </c>
      <c r="B387" s="51"/>
      <c r="C387" s="81" t="s">
        <v>21</v>
      </c>
      <c r="D387" s="81"/>
      <c r="E387" s="20">
        <f>144801+35712-60171</f>
        <v>120342</v>
      </c>
      <c r="F387" s="82"/>
      <c r="G387" s="83"/>
      <c r="H387" s="83"/>
      <c r="I387" s="84"/>
    </row>
    <row r="388" spans="1:9" ht="33" customHeight="1" x14ac:dyDescent="0.3">
      <c r="A388" s="13">
        <v>458200000</v>
      </c>
      <c r="B388" s="51"/>
      <c r="C388" s="81" t="s">
        <v>22</v>
      </c>
      <c r="D388" s="81"/>
      <c r="E388" s="20">
        <f>104319+25728</f>
        <v>130047</v>
      </c>
      <c r="F388" s="82"/>
      <c r="G388" s="83"/>
      <c r="H388" s="83"/>
      <c r="I388" s="84"/>
    </row>
    <row r="389" spans="1:9" ht="33" customHeight="1" x14ac:dyDescent="0.3">
      <c r="A389" s="13">
        <v>458400000</v>
      </c>
      <c r="B389" s="51"/>
      <c r="C389" s="81" t="s">
        <v>24</v>
      </c>
      <c r="D389" s="81"/>
      <c r="E389" s="20">
        <f>88749+21888</f>
        <v>110637</v>
      </c>
      <c r="F389" s="82"/>
      <c r="G389" s="83"/>
      <c r="H389" s="83"/>
      <c r="I389" s="84"/>
    </row>
    <row r="390" spans="1:9" ht="33" customHeight="1" x14ac:dyDescent="0.3">
      <c r="A390" s="13">
        <v>458500000</v>
      </c>
      <c r="B390" s="51"/>
      <c r="C390" s="81" t="s">
        <v>25</v>
      </c>
      <c r="D390" s="81"/>
      <c r="E390" s="20">
        <f>32697+8064</f>
        <v>40761</v>
      </c>
      <c r="F390" s="82"/>
      <c r="G390" s="83"/>
      <c r="H390" s="83"/>
      <c r="I390" s="84"/>
    </row>
    <row r="391" spans="1:9" ht="33" customHeight="1" x14ac:dyDescent="0.3">
      <c r="A391" s="13">
        <v>456200000</v>
      </c>
      <c r="B391" s="51"/>
      <c r="C391" s="81" t="s">
        <v>32</v>
      </c>
      <c r="D391" s="81"/>
      <c r="E391" s="20">
        <f>54495+13440</f>
        <v>67935</v>
      </c>
      <c r="F391" s="82"/>
      <c r="G391" s="83"/>
      <c r="H391" s="83"/>
      <c r="I391" s="84"/>
    </row>
    <row r="392" spans="1:9" ht="33" customHeight="1" x14ac:dyDescent="0.3">
      <c r="A392" s="13">
        <v>458900000</v>
      </c>
      <c r="B392" s="51"/>
      <c r="C392" s="81" t="s">
        <v>29</v>
      </c>
      <c r="D392" s="81"/>
      <c r="E392" s="20">
        <f>32697+8064</f>
        <v>40761</v>
      </c>
      <c r="F392" s="82"/>
      <c r="G392" s="83"/>
      <c r="H392" s="83"/>
      <c r="I392" s="84"/>
    </row>
    <row r="393" spans="1:9" ht="33" customHeight="1" x14ac:dyDescent="0.3">
      <c r="A393" s="13">
        <v>459100000</v>
      </c>
      <c r="B393" s="51"/>
      <c r="C393" s="81" t="s">
        <v>30</v>
      </c>
      <c r="D393" s="81"/>
      <c r="E393" s="20">
        <f>24912+6144</f>
        <v>31056</v>
      </c>
      <c r="F393" s="82"/>
      <c r="G393" s="83"/>
      <c r="H393" s="83"/>
      <c r="I393" s="84"/>
    </row>
    <row r="394" spans="1:9" s="8" customFormat="1" ht="33" customHeight="1" x14ac:dyDescent="0.3">
      <c r="A394" s="85" t="s">
        <v>97</v>
      </c>
      <c r="B394" s="85"/>
      <c r="C394" s="85"/>
      <c r="D394" s="85"/>
      <c r="E394" s="19">
        <f>SUM(E381:E393)</f>
        <v>3971286</v>
      </c>
      <c r="F394" s="86"/>
      <c r="G394" s="87"/>
      <c r="H394" s="87"/>
      <c r="I394" s="88"/>
    </row>
    <row r="395" spans="1:9" ht="33" customHeight="1" x14ac:dyDescent="0.3">
      <c r="A395" s="13">
        <v>450100000</v>
      </c>
      <c r="B395" s="51"/>
      <c r="C395" s="81" t="s">
        <v>33</v>
      </c>
      <c r="D395" s="81"/>
      <c r="E395" s="20">
        <f>32697+8064</f>
        <v>40761</v>
      </c>
      <c r="F395" s="82"/>
      <c r="G395" s="83"/>
      <c r="H395" s="83"/>
      <c r="I395" s="84"/>
    </row>
    <row r="396" spans="1:9" ht="33" customHeight="1" x14ac:dyDescent="0.3">
      <c r="A396" s="13">
        <v>450200000</v>
      </c>
      <c r="B396" s="51"/>
      <c r="C396" s="81" t="s">
        <v>34</v>
      </c>
      <c r="D396" s="81"/>
      <c r="E396" s="20">
        <f>6228+1536</f>
        <v>7764</v>
      </c>
      <c r="F396" s="82"/>
      <c r="G396" s="83"/>
      <c r="H396" s="83"/>
      <c r="I396" s="84"/>
    </row>
    <row r="397" spans="1:9" ht="33" customHeight="1" x14ac:dyDescent="0.3">
      <c r="A397" s="13">
        <v>451800000</v>
      </c>
      <c r="B397" s="51"/>
      <c r="C397" s="81" t="s">
        <v>35</v>
      </c>
      <c r="D397" s="81"/>
      <c r="E397" s="20">
        <f>9342+2304</f>
        <v>11646</v>
      </c>
      <c r="F397" s="82"/>
      <c r="G397" s="83"/>
      <c r="H397" s="83"/>
      <c r="I397" s="84"/>
    </row>
    <row r="398" spans="1:9" ht="33" customHeight="1" x14ac:dyDescent="0.3">
      <c r="A398" s="13">
        <v>457200000</v>
      </c>
      <c r="B398" s="51"/>
      <c r="C398" s="101" t="s">
        <v>14</v>
      </c>
      <c r="D398" s="102"/>
      <c r="E398" s="20">
        <f>7785+1920</f>
        <v>9705</v>
      </c>
      <c r="F398" s="82"/>
      <c r="G398" s="83"/>
      <c r="H398" s="83"/>
      <c r="I398" s="84"/>
    </row>
    <row r="399" spans="1:9" ht="33" customHeight="1" x14ac:dyDescent="0.3">
      <c r="A399" s="13">
        <v>450500000</v>
      </c>
      <c r="B399" s="51"/>
      <c r="C399" s="81" t="s">
        <v>38</v>
      </c>
      <c r="D399" s="81"/>
      <c r="E399" s="20">
        <f>1557+384</f>
        <v>1941</v>
      </c>
      <c r="F399" s="82"/>
      <c r="G399" s="83"/>
      <c r="H399" s="83"/>
      <c r="I399" s="84"/>
    </row>
    <row r="400" spans="1:9" ht="33" customHeight="1" x14ac:dyDescent="0.3">
      <c r="A400" s="13">
        <v>451900000</v>
      </c>
      <c r="B400" s="51"/>
      <c r="C400" s="81" t="s">
        <v>47</v>
      </c>
      <c r="D400" s="81"/>
      <c r="E400" s="20">
        <f>62280+15360</f>
        <v>77640</v>
      </c>
      <c r="F400" s="82"/>
      <c r="G400" s="83"/>
      <c r="H400" s="83"/>
      <c r="I400" s="84"/>
    </row>
    <row r="401" spans="1:9" ht="33" customHeight="1" x14ac:dyDescent="0.3">
      <c r="A401" s="13">
        <v>452900000</v>
      </c>
      <c r="B401" s="51"/>
      <c r="C401" s="81" t="s">
        <v>56</v>
      </c>
      <c r="D401" s="81"/>
      <c r="E401" s="20">
        <f>6228+1536</f>
        <v>7764</v>
      </c>
      <c r="F401" s="82"/>
      <c r="G401" s="83"/>
      <c r="H401" s="83"/>
      <c r="I401" s="84"/>
    </row>
    <row r="402" spans="1:9" ht="33" customHeight="1" x14ac:dyDescent="0.3">
      <c r="A402" s="13">
        <v>450300000</v>
      </c>
      <c r="B402" s="51"/>
      <c r="C402" s="81" t="s">
        <v>36</v>
      </c>
      <c r="D402" s="81"/>
      <c r="E402" s="20">
        <f>7785+1920</f>
        <v>9705</v>
      </c>
      <c r="F402" s="82"/>
      <c r="G402" s="83"/>
      <c r="H402" s="83"/>
      <c r="I402" s="84"/>
    </row>
    <row r="403" spans="1:9" ht="33" customHeight="1" x14ac:dyDescent="0.3">
      <c r="A403" s="13">
        <v>457300000</v>
      </c>
      <c r="B403" s="51"/>
      <c r="C403" s="81" t="s">
        <v>112</v>
      </c>
      <c r="D403" s="81"/>
      <c r="E403" s="20">
        <f>3114+768</f>
        <v>3882</v>
      </c>
      <c r="F403" s="82"/>
      <c r="G403" s="83"/>
      <c r="H403" s="83"/>
      <c r="I403" s="84"/>
    </row>
    <row r="404" spans="1:9" ht="33" customHeight="1" x14ac:dyDescent="0.3">
      <c r="A404" s="13">
        <v>453600000</v>
      </c>
      <c r="B404" s="51"/>
      <c r="C404" s="81" t="s">
        <v>60</v>
      </c>
      <c r="D404" s="81"/>
      <c r="E404" s="20">
        <f>49824+12288</f>
        <v>62112</v>
      </c>
      <c r="F404" s="82"/>
      <c r="G404" s="83"/>
      <c r="H404" s="83"/>
      <c r="I404" s="84"/>
    </row>
    <row r="405" spans="1:9" ht="33" customHeight="1" x14ac:dyDescent="0.3">
      <c r="A405" s="13">
        <v>452000000</v>
      </c>
      <c r="B405" s="51"/>
      <c r="C405" s="81" t="s">
        <v>48</v>
      </c>
      <c r="D405" s="81"/>
      <c r="E405" s="20">
        <f>4671+1152</f>
        <v>5823</v>
      </c>
      <c r="F405" s="82"/>
      <c r="G405" s="83"/>
      <c r="H405" s="83"/>
      <c r="I405" s="84"/>
    </row>
    <row r="406" spans="1:9" ht="33" customHeight="1" x14ac:dyDescent="0.3">
      <c r="A406" s="13">
        <v>456300000</v>
      </c>
      <c r="B406" s="51"/>
      <c r="C406" s="81" t="s">
        <v>7</v>
      </c>
      <c r="D406" s="81"/>
      <c r="E406" s="20">
        <f>7785+1920</f>
        <v>9705</v>
      </c>
      <c r="F406" s="82"/>
      <c r="G406" s="83"/>
      <c r="H406" s="83"/>
      <c r="I406" s="84"/>
    </row>
    <row r="407" spans="1:9" ht="33" customHeight="1" x14ac:dyDescent="0.3">
      <c r="A407" s="13">
        <v>453000000</v>
      </c>
      <c r="B407" s="51"/>
      <c r="C407" s="81" t="s">
        <v>57</v>
      </c>
      <c r="D407" s="81"/>
      <c r="E407" s="20">
        <f>4671+1152</f>
        <v>5823</v>
      </c>
      <c r="F407" s="82"/>
      <c r="G407" s="83"/>
      <c r="H407" s="83"/>
      <c r="I407" s="84"/>
    </row>
    <row r="408" spans="1:9" ht="33" customHeight="1" x14ac:dyDescent="0.3">
      <c r="A408" s="13">
        <v>450700000</v>
      </c>
      <c r="B408" s="51"/>
      <c r="C408" s="81" t="s">
        <v>40</v>
      </c>
      <c r="D408" s="81"/>
      <c r="E408" s="20">
        <f>10899+2688</f>
        <v>13587</v>
      </c>
      <c r="F408" s="82"/>
      <c r="G408" s="83"/>
      <c r="H408" s="83"/>
      <c r="I408" s="84"/>
    </row>
    <row r="409" spans="1:9" ht="33" customHeight="1" x14ac:dyDescent="0.3">
      <c r="A409" s="13">
        <v>457500000</v>
      </c>
      <c r="B409" s="51"/>
      <c r="C409" s="81" t="s">
        <v>16</v>
      </c>
      <c r="D409" s="81"/>
      <c r="E409" s="20">
        <f>9342+2304</f>
        <v>11646</v>
      </c>
      <c r="F409" s="82"/>
      <c r="G409" s="83"/>
      <c r="H409" s="83"/>
      <c r="I409" s="84"/>
    </row>
    <row r="410" spans="1:9" ht="33" customHeight="1" x14ac:dyDescent="0.3">
      <c r="A410" s="13">
        <v>455600000</v>
      </c>
      <c r="B410" s="51"/>
      <c r="C410" s="81" t="s">
        <v>73</v>
      </c>
      <c r="D410" s="81"/>
      <c r="E410" s="20">
        <f>3116+766+1941</f>
        <v>5823</v>
      </c>
      <c r="F410" s="82"/>
      <c r="G410" s="83"/>
      <c r="H410" s="83"/>
      <c r="I410" s="84"/>
    </row>
    <row r="411" spans="1:9" ht="33" customHeight="1" x14ac:dyDescent="0.3">
      <c r="A411" s="13">
        <v>453500000</v>
      </c>
      <c r="B411" s="51"/>
      <c r="C411" s="81" t="s">
        <v>6</v>
      </c>
      <c r="D411" s="81"/>
      <c r="E411" s="20">
        <f>17127+4224</f>
        <v>21351</v>
      </c>
      <c r="F411" s="82"/>
      <c r="G411" s="83"/>
      <c r="H411" s="83"/>
      <c r="I411" s="84"/>
    </row>
    <row r="412" spans="1:9" ht="33" customHeight="1" x14ac:dyDescent="0.3">
      <c r="A412" s="13">
        <v>456400000</v>
      </c>
      <c r="B412" s="51"/>
      <c r="C412" s="81" t="s">
        <v>8</v>
      </c>
      <c r="D412" s="81"/>
      <c r="E412" s="20">
        <f>1557+384</f>
        <v>1941</v>
      </c>
      <c r="F412" s="82"/>
      <c r="G412" s="83"/>
      <c r="H412" s="83"/>
      <c r="I412" s="84"/>
    </row>
    <row r="413" spans="1:9" ht="33" customHeight="1" x14ac:dyDescent="0.3">
      <c r="A413" s="13">
        <v>450600000</v>
      </c>
      <c r="B413" s="51"/>
      <c r="C413" s="81" t="s">
        <v>39</v>
      </c>
      <c r="D413" s="81"/>
      <c r="E413" s="20">
        <f>12456+3072</f>
        <v>15528</v>
      </c>
      <c r="F413" s="82"/>
      <c r="G413" s="83"/>
      <c r="H413" s="83"/>
      <c r="I413" s="84"/>
    </row>
    <row r="414" spans="1:9" ht="33" customHeight="1" x14ac:dyDescent="0.3">
      <c r="A414" s="13">
        <v>454700000</v>
      </c>
      <c r="B414" s="51"/>
      <c r="C414" s="81" t="s">
        <v>66</v>
      </c>
      <c r="D414" s="81"/>
      <c r="E414" s="20">
        <f>18684+4608</f>
        <v>23292</v>
      </c>
      <c r="F414" s="82"/>
      <c r="G414" s="83"/>
      <c r="H414" s="83"/>
      <c r="I414" s="84"/>
    </row>
    <row r="415" spans="1:9" ht="33" customHeight="1" x14ac:dyDescent="0.3">
      <c r="A415" s="13">
        <v>455000000</v>
      </c>
      <c r="B415" s="51"/>
      <c r="C415" s="81" t="s">
        <v>67</v>
      </c>
      <c r="D415" s="81"/>
      <c r="E415" s="20">
        <f>1557+384</f>
        <v>1941</v>
      </c>
      <c r="F415" s="82"/>
      <c r="G415" s="83"/>
      <c r="H415" s="83"/>
      <c r="I415" s="84"/>
    </row>
    <row r="416" spans="1:9" ht="33" customHeight="1" x14ac:dyDescent="0.3">
      <c r="A416" s="13">
        <v>452100000</v>
      </c>
      <c r="B416" s="51"/>
      <c r="C416" s="81" t="s">
        <v>49</v>
      </c>
      <c r="D416" s="81"/>
      <c r="E416" s="20">
        <f>18684+4608</f>
        <v>23292</v>
      </c>
      <c r="F416" s="82"/>
      <c r="G416" s="83"/>
      <c r="H416" s="83"/>
      <c r="I416" s="84"/>
    </row>
    <row r="417" spans="1:9" ht="33" customHeight="1" x14ac:dyDescent="0.3">
      <c r="A417" s="13">
        <v>452200000</v>
      </c>
      <c r="B417" s="51"/>
      <c r="C417" s="101" t="s">
        <v>50</v>
      </c>
      <c r="D417" s="102"/>
      <c r="E417" s="20">
        <f>3114+768</f>
        <v>3882</v>
      </c>
      <c r="F417" s="82"/>
      <c r="G417" s="83"/>
      <c r="H417" s="83"/>
      <c r="I417" s="84"/>
    </row>
    <row r="418" spans="1:9" ht="33" customHeight="1" x14ac:dyDescent="0.3">
      <c r="A418" s="13">
        <v>455700000</v>
      </c>
      <c r="B418" s="51"/>
      <c r="C418" s="81" t="s">
        <v>74</v>
      </c>
      <c r="D418" s="81"/>
      <c r="E418" s="20">
        <f>7785+1920</f>
        <v>9705</v>
      </c>
      <c r="F418" s="82"/>
      <c r="G418" s="83"/>
      <c r="H418" s="83"/>
      <c r="I418" s="84"/>
    </row>
    <row r="419" spans="1:9" ht="33" customHeight="1" x14ac:dyDescent="0.3">
      <c r="A419" s="13">
        <v>457900000</v>
      </c>
      <c r="B419" s="51"/>
      <c r="C419" s="81" t="s">
        <v>20</v>
      </c>
      <c r="D419" s="81"/>
      <c r="E419" s="20">
        <f>9342+2304</f>
        <v>11646</v>
      </c>
      <c r="F419" s="82"/>
      <c r="G419" s="83"/>
      <c r="H419" s="83"/>
      <c r="I419" s="84"/>
    </row>
    <row r="420" spans="1:9" ht="33" customHeight="1" x14ac:dyDescent="0.3">
      <c r="A420" s="13">
        <v>455300000</v>
      </c>
      <c r="B420" s="51"/>
      <c r="C420" s="81" t="s">
        <v>70</v>
      </c>
      <c r="D420" s="81"/>
      <c r="E420" s="20">
        <f>1557+384</f>
        <v>1941</v>
      </c>
      <c r="F420" s="82"/>
      <c r="G420" s="83"/>
      <c r="H420" s="83"/>
      <c r="I420" s="84"/>
    </row>
    <row r="421" spans="1:9" ht="33" customHeight="1" x14ac:dyDescent="0.3">
      <c r="A421" s="13">
        <v>456500000</v>
      </c>
      <c r="B421" s="51"/>
      <c r="C421" s="81" t="s">
        <v>9</v>
      </c>
      <c r="D421" s="81"/>
      <c r="E421" s="20">
        <f>14013+3456</f>
        <v>17469</v>
      </c>
      <c r="F421" s="82"/>
      <c r="G421" s="83"/>
      <c r="H421" s="83"/>
      <c r="I421" s="84"/>
    </row>
    <row r="422" spans="1:9" ht="33" customHeight="1" x14ac:dyDescent="0.3">
      <c r="A422" s="13">
        <v>453100000</v>
      </c>
      <c r="B422" s="51"/>
      <c r="C422" s="81" t="s">
        <v>58</v>
      </c>
      <c r="D422" s="81"/>
      <c r="E422" s="20">
        <f>1557+384</f>
        <v>1941</v>
      </c>
      <c r="F422" s="82"/>
      <c r="G422" s="83"/>
      <c r="H422" s="83"/>
      <c r="I422" s="84"/>
    </row>
    <row r="423" spans="1:9" ht="33" customHeight="1" x14ac:dyDescent="0.3">
      <c r="A423" s="13">
        <v>454100000</v>
      </c>
      <c r="B423" s="51"/>
      <c r="C423" s="81" t="s">
        <v>78</v>
      </c>
      <c r="D423" s="81"/>
      <c r="E423" s="20">
        <f>3114+768</f>
        <v>3882</v>
      </c>
      <c r="F423" s="82"/>
      <c r="G423" s="83"/>
      <c r="H423" s="83"/>
      <c r="I423" s="84"/>
    </row>
    <row r="424" spans="1:9" ht="33" customHeight="1" x14ac:dyDescent="0.3">
      <c r="A424" s="13">
        <v>453700000</v>
      </c>
      <c r="B424" s="51"/>
      <c r="C424" s="81" t="s">
        <v>61</v>
      </c>
      <c r="D424" s="81"/>
      <c r="E424" s="20">
        <f>14013+3456</f>
        <v>17469</v>
      </c>
      <c r="F424" s="82"/>
      <c r="G424" s="83"/>
      <c r="H424" s="83"/>
      <c r="I424" s="84"/>
    </row>
    <row r="425" spans="1:9" ht="33" customHeight="1" x14ac:dyDescent="0.3">
      <c r="A425" s="13">
        <v>458000000</v>
      </c>
      <c r="B425" s="51"/>
      <c r="C425" s="81" t="s">
        <v>100</v>
      </c>
      <c r="D425" s="81"/>
      <c r="E425" s="20">
        <f>1557+384</f>
        <v>1941</v>
      </c>
      <c r="F425" s="82"/>
      <c r="G425" s="83"/>
      <c r="H425" s="83"/>
      <c r="I425" s="84"/>
    </row>
    <row r="426" spans="1:9" ht="33" customHeight="1" x14ac:dyDescent="0.3">
      <c r="A426" s="13">
        <v>454400000</v>
      </c>
      <c r="B426" s="51"/>
      <c r="C426" s="81" t="s">
        <v>99</v>
      </c>
      <c r="D426" s="81"/>
      <c r="E426" s="20">
        <f>1557+384</f>
        <v>1941</v>
      </c>
      <c r="F426" s="82"/>
      <c r="G426" s="83"/>
      <c r="H426" s="83"/>
      <c r="I426" s="84"/>
    </row>
    <row r="427" spans="1:9" ht="33" customHeight="1" x14ac:dyDescent="0.3">
      <c r="A427" s="13">
        <v>451600000</v>
      </c>
      <c r="B427" s="51"/>
      <c r="C427" s="81" t="s">
        <v>46</v>
      </c>
      <c r="D427" s="81"/>
      <c r="E427" s="20">
        <f>9342+2304</f>
        <v>11646</v>
      </c>
      <c r="F427" s="82"/>
      <c r="G427" s="83"/>
      <c r="H427" s="83"/>
      <c r="I427" s="84"/>
    </row>
    <row r="428" spans="1:9" ht="33" customHeight="1" x14ac:dyDescent="0.3">
      <c r="A428" s="13">
        <v>450900000</v>
      </c>
      <c r="B428" s="51"/>
      <c r="C428" s="81" t="s">
        <v>41</v>
      </c>
      <c r="D428" s="81"/>
      <c r="E428" s="20">
        <f>7785+1920</f>
        <v>9705</v>
      </c>
      <c r="F428" s="82"/>
      <c r="G428" s="83"/>
      <c r="H428" s="83"/>
      <c r="I428" s="84"/>
    </row>
    <row r="429" spans="1:9" ht="33" customHeight="1" x14ac:dyDescent="0.3">
      <c r="A429" s="13">
        <v>451000000</v>
      </c>
      <c r="B429" s="51"/>
      <c r="C429" s="81" t="s">
        <v>42</v>
      </c>
      <c r="D429" s="81"/>
      <c r="E429" s="20">
        <f>3114+768-1941</f>
        <v>1941</v>
      </c>
      <c r="F429" s="82"/>
      <c r="G429" s="83"/>
      <c r="H429" s="83"/>
      <c r="I429" s="84"/>
    </row>
    <row r="430" spans="1:9" ht="33" customHeight="1" x14ac:dyDescent="0.3">
      <c r="A430" s="13">
        <v>451100000</v>
      </c>
      <c r="B430" s="51"/>
      <c r="C430" s="81" t="s">
        <v>79</v>
      </c>
      <c r="D430" s="81"/>
      <c r="E430" s="20">
        <f>15570+3840</f>
        <v>19410</v>
      </c>
      <c r="F430" s="82"/>
      <c r="G430" s="83"/>
      <c r="H430" s="83"/>
      <c r="I430" s="84"/>
    </row>
    <row r="431" spans="1:9" ht="33" customHeight="1" x14ac:dyDescent="0.3">
      <c r="A431" s="13">
        <v>458300000</v>
      </c>
      <c r="B431" s="51"/>
      <c r="C431" s="81" t="s">
        <v>23</v>
      </c>
      <c r="D431" s="81"/>
      <c r="E431" s="20">
        <f>6228+1536</f>
        <v>7764</v>
      </c>
      <c r="F431" s="82"/>
      <c r="G431" s="83"/>
      <c r="H431" s="83"/>
      <c r="I431" s="84"/>
    </row>
    <row r="432" spans="1:9" ht="33" customHeight="1" x14ac:dyDescent="0.3">
      <c r="A432" s="13">
        <v>451200000</v>
      </c>
      <c r="B432" s="51"/>
      <c r="C432" s="81" t="s">
        <v>43</v>
      </c>
      <c r="D432" s="81"/>
      <c r="E432" s="20">
        <f>9342+2304</f>
        <v>11646</v>
      </c>
      <c r="F432" s="82"/>
      <c r="G432" s="83"/>
      <c r="H432" s="83"/>
      <c r="I432" s="84"/>
    </row>
    <row r="433" spans="1:9" ht="33" customHeight="1" x14ac:dyDescent="0.3">
      <c r="A433" s="13">
        <v>456600000</v>
      </c>
      <c r="B433" s="51"/>
      <c r="C433" s="81" t="s">
        <v>10</v>
      </c>
      <c r="D433" s="81"/>
      <c r="E433" s="20">
        <f>17127+4224</f>
        <v>21351</v>
      </c>
      <c r="F433" s="82"/>
      <c r="G433" s="83"/>
      <c r="H433" s="83"/>
      <c r="I433" s="84"/>
    </row>
    <row r="434" spans="1:9" ht="33" customHeight="1" x14ac:dyDescent="0.3">
      <c r="A434" s="13">
        <v>455800000</v>
      </c>
      <c r="B434" s="51"/>
      <c r="C434" s="81" t="s">
        <v>75</v>
      </c>
      <c r="D434" s="81"/>
      <c r="E434" s="20">
        <f>24912+6144</f>
        <v>31056</v>
      </c>
      <c r="F434" s="82"/>
      <c r="G434" s="83"/>
      <c r="H434" s="83"/>
      <c r="I434" s="84"/>
    </row>
    <row r="435" spans="1:9" ht="33" customHeight="1" x14ac:dyDescent="0.3">
      <c r="A435" s="13">
        <v>453900000</v>
      </c>
      <c r="B435" s="51"/>
      <c r="C435" s="81" t="s">
        <v>77</v>
      </c>
      <c r="D435" s="81"/>
      <c r="E435" s="20">
        <f>1557+384</f>
        <v>1941</v>
      </c>
      <c r="F435" s="82"/>
      <c r="G435" s="83"/>
      <c r="H435" s="83"/>
      <c r="I435" s="84"/>
    </row>
    <row r="436" spans="1:9" ht="33" customHeight="1" x14ac:dyDescent="0.3">
      <c r="A436" s="13">
        <v>454300000</v>
      </c>
      <c r="B436" s="51"/>
      <c r="C436" s="81" t="s">
        <v>64</v>
      </c>
      <c r="D436" s="81"/>
      <c r="E436" s="20">
        <f>21798+5376</f>
        <v>27174</v>
      </c>
      <c r="F436" s="82"/>
      <c r="G436" s="83"/>
      <c r="H436" s="83"/>
      <c r="I436" s="84"/>
    </row>
    <row r="437" spans="1:9" ht="33" customHeight="1" x14ac:dyDescent="0.3">
      <c r="A437" s="13">
        <v>458600000</v>
      </c>
      <c r="B437" s="51"/>
      <c r="C437" s="81" t="s">
        <v>26</v>
      </c>
      <c r="D437" s="81"/>
      <c r="E437" s="20">
        <f>14013+3456</f>
        <v>17469</v>
      </c>
      <c r="F437" s="82"/>
      <c r="G437" s="83"/>
      <c r="H437" s="83"/>
      <c r="I437" s="84"/>
    </row>
    <row r="438" spans="1:9" ht="33" customHeight="1" x14ac:dyDescent="0.3">
      <c r="A438" s="13">
        <v>456800000</v>
      </c>
      <c r="B438" s="51"/>
      <c r="C438" s="81" t="s">
        <v>12</v>
      </c>
      <c r="D438" s="81"/>
      <c r="E438" s="20">
        <f>15570+3840</f>
        <v>19410</v>
      </c>
      <c r="F438" s="82"/>
      <c r="G438" s="83"/>
      <c r="H438" s="83"/>
      <c r="I438" s="84"/>
    </row>
    <row r="439" spans="1:9" ht="33" customHeight="1" x14ac:dyDescent="0.3">
      <c r="A439" s="13">
        <v>455900000</v>
      </c>
      <c r="B439" s="51"/>
      <c r="C439" s="81" t="s">
        <v>76</v>
      </c>
      <c r="D439" s="81"/>
      <c r="E439" s="20">
        <f>17127+4224</f>
        <v>21351</v>
      </c>
      <c r="F439" s="82"/>
      <c r="G439" s="83"/>
      <c r="H439" s="83"/>
      <c r="I439" s="84"/>
    </row>
    <row r="440" spans="1:9" ht="33" customHeight="1" x14ac:dyDescent="0.3">
      <c r="A440" s="13">
        <v>452300000</v>
      </c>
      <c r="B440" s="51"/>
      <c r="C440" s="81" t="s">
        <v>51</v>
      </c>
      <c r="D440" s="81"/>
      <c r="E440" s="20">
        <f>34254+8448</f>
        <v>42702</v>
      </c>
      <c r="F440" s="82"/>
      <c r="G440" s="83"/>
      <c r="H440" s="83"/>
      <c r="I440" s="84"/>
    </row>
    <row r="441" spans="1:9" ht="33" customHeight="1" x14ac:dyDescent="0.3">
      <c r="A441" s="13">
        <v>458700000</v>
      </c>
      <c r="B441" s="51"/>
      <c r="C441" s="81" t="s">
        <v>27</v>
      </c>
      <c r="D441" s="81"/>
      <c r="E441" s="20">
        <f>10899+2688</f>
        <v>13587</v>
      </c>
      <c r="F441" s="82"/>
      <c r="G441" s="83"/>
      <c r="H441" s="83"/>
      <c r="I441" s="84"/>
    </row>
    <row r="442" spans="1:9" ht="33" customHeight="1" x14ac:dyDescent="0.3">
      <c r="A442" s="13">
        <v>458800000</v>
      </c>
      <c r="B442" s="51"/>
      <c r="C442" s="81" t="s">
        <v>28</v>
      </c>
      <c r="D442" s="81"/>
      <c r="E442" s="20">
        <f>42039+10368</f>
        <v>52407</v>
      </c>
      <c r="F442" s="82"/>
      <c r="G442" s="83"/>
      <c r="H442" s="83"/>
      <c r="I442" s="84"/>
    </row>
    <row r="443" spans="1:9" ht="33" customHeight="1" x14ac:dyDescent="0.3">
      <c r="A443" s="13">
        <v>454600000</v>
      </c>
      <c r="B443" s="51"/>
      <c r="C443" s="81" t="s">
        <v>65</v>
      </c>
      <c r="D443" s="81"/>
      <c r="E443" s="20">
        <f>9342+2304</f>
        <v>11646</v>
      </c>
      <c r="F443" s="82"/>
      <c r="G443" s="83"/>
      <c r="H443" s="83"/>
      <c r="I443" s="84"/>
    </row>
    <row r="444" spans="1:9" ht="33" customHeight="1" x14ac:dyDescent="0.3">
      <c r="A444" s="13">
        <v>452400000</v>
      </c>
      <c r="B444" s="51"/>
      <c r="C444" s="81" t="s">
        <v>52</v>
      </c>
      <c r="D444" s="81"/>
      <c r="E444" s="20">
        <f>1557+384</f>
        <v>1941</v>
      </c>
      <c r="F444" s="82"/>
      <c r="G444" s="83"/>
      <c r="H444" s="83"/>
      <c r="I444" s="84"/>
    </row>
    <row r="445" spans="1:9" ht="33" customHeight="1" x14ac:dyDescent="0.3">
      <c r="A445" s="13">
        <v>455500000</v>
      </c>
      <c r="B445" s="51"/>
      <c r="C445" s="81" t="s">
        <v>72</v>
      </c>
      <c r="D445" s="81"/>
      <c r="E445" s="20">
        <f>4671+1152</f>
        <v>5823</v>
      </c>
      <c r="F445" s="82"/>
      <c r="G445" s="83"/>
      <c r="H445" s="83"/>
      <c r="I445" s="84"/>
    </row>
    <row r="446" spans="1:9" ht="33" customHeight="1" x14ac:dyDescent="0.3">
      <c r="A446" s="13">
        <v>451500000</v>
      </c>
      <c r="B446" s="51"/>
      <c r="C446" s="81" t="s">
        <v>45</v>
      </c>
      <c r="D446" s="81"/>
      <c r="E446" s="20">
        <f>7785+1920</f>
        <v>9705</v>
      </c>
      <c r="F446" s="82"/>
      <c r="G446" s="83"/>
      <c r="H446" s="83"/>
      <c r="I446" s="84"/>
    </row>
    <row r="447" spans="1:9" s="2" customFormat="1" ht="33" customHeight="1" x14ac:dyDescent="0.3">
      <c r="A447" s="13">
        <v>459000000</v>
      </c>
      <c r="B447" s="51"/>
      <c r="C447" s="81" t="s">
        <v>124</v>
      </c>
      <c r="D447" s="81"/>
      <c r="E447" s="20">
        <f>6228+1536</f>
        <v>7764</v>
      </c>
      <c r="F447" s="82"/>
      <c r="G447" s="83"/>
      <c r="H447" s="83"/>
      <c r="I447" s="84"/>
    </row>
    <row r="448" spans="1:9" s="2" customFormat="1" ht="33" customHeight="1" x14ac:dyDescent="0.3">
      <c r="A448" s="13">
        <v>451300000</v>
      </c>
      <c r="B448" s="51"/>
      <c r="C448" s="81" t="s">
        <v>44</v>
      </c>
      <c r="D448" s="81"/>
      <c r="E448" s="20">
        <f>38925+9600</f>
        <v>48525</v>
      </c>
      <c r="F448" s="82"/>
      <c r="G448" s="83"/>
      <c r="H448" s="83"/>
      <c r="I448" s="84"/>
    </row>
    <row r="449" spans="1:9" s="2" customFormat="1" ht="33" customHeight="1" x14ac:dyDescent="0.3">
      <c r="A449" s="13">
        <v>452500000</v>
      </c>
      <c r="B449" s="51"/>
      <c r="C449" s="81" t="s">
        <v>53</v>
      </c>
      <c r="D449" s="81"/>
      <c r="E449" s="20">
        <f>32697+8064</f>
        <v>40761</v>
      </c>
      <c r="F449" s="82"/>
      <c r="G449" s="83"/>
      <c r="H449" s="83"/>
      <c r="I449" s="84"/>
    </row>
    <row r="450" spans="1:9" s="2" customFormat="1" ht="33" customHeight="1" x14ac:dyDescent="0.3">
      <c r="A450" s="13">
        <v>452600000</v>
      </c>
      <c r="B450" s="51"/>
      <c r="C450" s="81" t="s">
        <v>54</v>
      </c>
      <c r="D450" s="81"/>
      <c r="E450" s="20">
        <f>18684+4608</f>
        <v>23292</v>
      </c>
      <c r="F450" s="82"/>
      <c r="G450" s="83"/>
      <c r="H450" s="83"/>
      <c r="I450" s="84"/>
    </row>
    <row r="451" spans="1:9" s="2" customFormat="1" ht="33" customHeight="1" x14ac:dyDescent="0.3">
      <c r="A451" s="13">
        <v>454200000</v>
      </c>
      <c r="B451" s="51"/>
      <c r="C451" s="81" t="s">
        <v>63</v>
      </c>
      <c r="D451" s="81"/>
      <c r="E451" s="20">
        <f>3114+768</f>
        <v>3882</v>
      </c>
      <c r="F451" s="82"/>
      <c r="G451" s="83"/>
      <c r="H451" s="83"/>
      <c r="I451" s="84"/>
    </row>
    <row r="452" spans="1:9" s="2" customFormat="1" ht="33" customHeight="1" x14ac:dyDescent="0.3">
      <c r="A452" s="13">
        <v>455400000</v>
      </c>
      <c r="B452" s="51"/>
      <c r="C452" s="81" t="s">
        <v>71</v>
      </c>
      <c r="D452" s="81"/>
      <c r="E452" s="20">
        <f>3114+768</f>
        <v>3882</v>
      </c>
      <c r="F452" s="82"/>
      <c r="G452" s="83"/>
      <c r="H452" s="83"/>
      <c r="I452" s="84"/>
    </row>
    <row r="453" spans="1:9" s="2" customFormat="1" ht="33" customHeight="1" x14ac:dyDescent="0.3">
      <c r="A453" s="13">
        <v>452700000</v>
      </c>
      <c r="B453" s="51"/>
      <c r="C453" s="81" t="s">
        <v>55</v>
      </c>
      <c r="D453" s="81"/>
      <c r="E453" s="20">
        <f>20241+4992</f>
        <v>25233</v>
      </c>
      <c r="F453" s="82"/>
      <c r="G453" s="83"/>
      <c r="H453" s="83"/>
      <c r="I453" s="84"/>
    </row>
    <row r="454" spans="1:9" s="2" customFormat="1" ht="33" customHeight="1" x14ac:dyDescent="0.3">
      <c r="A454" s="13">
        <v>454000000</v>
      </c>
      <c r="B454" s="51"/>
      <c r="C454" s="81" t="s">
        <v>62</v>
      </c>
      <c r="D454" s="81"/>
      <c r="E454" s="20">
        <f>12456+3072</f>
        <v>15528</v>
      </c>
      <c r="F454" s="82"/>
      <c r="G454" s="83"/>
      <c r="H454" s="83"/>
      <c r="I454" s="84"/>
    </row>
    <row r="455" spans="1:9" s="2" customFormat="1" ht="33" customHeight="1" x14ac:dyDescent="0.3">
      <c r="A455" s="13">
        <v>457000000</v>
      </c>
      <c r="B455" s="51"/>
      <c r="C455" s="81" t="s">
        <v>13</v>
      </c>
      <c r="D455" s="81"/>
      <c r="E455" s="20">
        <f>18684+4608</f>
        <v>23292</v>
      </c>
      <c r="F455" s="82"/>
      <c r="G455" s="83"/>
      <c r="H455" s="83"/>
      <c r="I455" s="84"/>
    </row>
    <row r="456" spans="1:9" s="2" customFormat="1" ht="33" customHeight="1" x14ac:dyDescent="0.3">
      <c r="A456" s="13">
        <v>456700000</v>
      </c>
      <c r="B456" s="51"/>
      <c r="C456" s="81" t="s">
        <v>11</v>
      </c>
      <c r="D456" s="81"/>
      <c r="E456" s="20">
        <f>4671+1152</f>
        <v>5823</v>
      </c>
      <c r="F456" s="82"/>
      <c r="G456" s="83"/>
      <c r="H456" s="83"/>
      <c r="I456" s="84"/>
    </row>
    <row r="457" spans="1:9" s="2" customFormat="1" ht="33" customHeight="1" x14ac:dyDescent="0.3">
      <c r="A457" s="13">
        <v>455100000</v>
      </c>
      <c r="B457" s="51"/>
      <c r="C457" s="81" t="s">
        <v>68</v>
      </c>
      <c r="D457" s="81"/>
      <c r="E457" s="20">
        <f>9342+2304</f>
        <v>11646</v>
      </c>
      <c r="F457" s="82"/>
      <c r="G457" s="83"/>
      <c r="H457" s="83"/>
      <c r="I457" s="84"/>
    </row>
    <row r="458" spans="1:9" s="2" customFormat="1" ht="33" customHeight="1" x14ac:dyDescent="0.3">
      <c r="A458" s="13">
        <v>455200000</v>
      </c>
      <c r="B458" s="51"/>
      <c r="C458" s="81" t="s">
        <v>69</v>
      </c>
      <c r="D458" s="81"/>
      <c r="E458" s="20">
        <f>3114+768</f>
        <v>3882</v>
      </c>
      <c r="F458" s="82"/>
      <c r="G458" s="83"/>
      <c r="H458" s="83"/>
      <c r="I458" s="84"/>
    </row>
    <row r="459" spans="1:9" s="4" customFormat="1" ht="33" customHeight="1" x14ac:dyDescent="0.3">
      <c r="A459" s="85" t="s">
        <v>80</v>
      </c>
      <c r="B459" s="85"/>
      <c r="C459" s="85"/>
      <c r="D459" s="85"/>
      <c r="E459" s="19">
        <f>SUM(E395:E458)</f>
        <v>997674</v>
      </c>
      <c r="F459" s="86"/>
      <c r="G459" s="87"/>
      <c r="H459" s="87"/>
      <c r="I459" s="88"/>
    </row>
    <row r="460" spans="1:9" s="8" customFormat="1" ht="101.25" customHeight="1" x14ac:dyDescent="0.3">
      <c r="A460" s="28">
        <v>1519770</v>
      </c>
      <c r="B460" s="46">
        <v>9770</v>
      </c>
      <c r="C460" s="96" t="s">
        <v>291</v>
      </c>
      <c r="D460" s="97"/>
      <c r="E460" s="19">
        <f>E461</f>
        <v>12000000</v>
      </c>
      <c r="F460" s="86" t="s">
        <v>290</v>
      </c>
      <c r="G460" s="87"/>
      <c r="H460" s="87"/>
      <c r="I460" s="88"/>
    </row>
    <row r="461" spans="1:9" s="8" customFormat="1" ht="33" customHeight="1" x14ac:dyDescent="0.3">
      <c r="A461" s="13">
        <v>2154000000</v>
      </c>
      <c r="B461" s="44"/>
      <c r="C461" s="101" t="s">
        <v>270</v>
      </c>
      <c r="D461" s="102"/>
      <c r="E461" s="20">
        <f t="shared" ref="E461" si="15">F461</f>
        <v>12000000</v>
      </c>
      <c r="F461" s="82">
        <f>12000000</f>
        <v>12000000</v>
      </c>
      <c r="G461" s="83"/>
      <c r="H461" s="83"/>
      <c r="I461" s="84"/>
    </row>
    <row r="462" spans="1:9" ht="59.25" customHeight="1" x14ac:dyDescent="0.3">
      <c r="A462" s="52" t="s">
        <v>108</v>
      </c>
      <c r="B462" s="53">
        <v>9800</v>
      </c>
      <c r="C462" s="106" t="s">
        <v>106</v>
      </c>
      <c r="D462" s="106"/>
      <c r="E462" s="19">
        <f>E463</f>
        <v>400500000</v>
      </c>
      <c r="F462" s="107" t="s">
        <v>228</v>
      </c>
      <c r="G462" s="107"/>
      <c r="H462" s="107"/>
      <c r="I462" s="107"/>
    </row>
    <row r="463" spans="1:9" s="8" customFormat="1" ht="33" customHeight="1" x14ac:dyDescent="0.3">
      <c r="A463" s="48">
        <v>9900000000</v>
      </c>
      <c r="B463" s="48"/>
      <c r="C463" s="101" t="s">
        <v>1</v>
      </c>
      <c r="D463" s="102"/>
      <c r="E463" s="20">
        <f>F463</f>
        <v>400500000</v>
      </c>
      <c r="F463" s="105">
        <f>77000000+146000000+120000000+3000000+10000000+27000000+1500000+16000000</f>
        <v>400500000</v>
      </c>
      <c r="G463" s="105"/>
      <c r="H463" s="105"/>
      <c r="I463" s="105"/>
    </row>
    <row r="464" spans="1:9" ht="64.5" customHeight="1" x14ac:dyDescent="0.3">
      <c r="A464" s="52" t="s">
        <v>108</v>
      </c>
      <c r="B464" s="53">
        <v>9800</v>
      </c>
      <c r="C464" s="109" t="s">
        <v>106</v>
      </c>
      <c r="D464" s="110"/>
      <c r="E464" s="19">
        <f>E465</f>
        <v>242620020</v>
      </c>
      <c r="F464" s="86" t="s">
        <v>126</v>
      </c>
      <c r="G464" s="87"/>
      <c r="H464" s="87"/>
      <c r="I464" s="88"/>
    </row>
    <row r="465" spans="1:9" s="8" customFormat="1" ht="33" customHeight="1" x14ac:dyDescent="0.3">
      <c r="A465" s="48">
        <v>9900000000</v>
      </c>
      <c r="B465" s="48"/>
      <c r="C465" s="101" t="s">
        <v>1</v>
      </c>
      <c r="D465" s="102"/>
      <c r="E465" s="20">
        <f>F465</f>
        <v>242620020</v>
      </c>
      <c r="F465" s="82">
        <f>50000000+21698680+80000000+5883560+7418480+198520+6887980+250000+331480+240000+1880000+406920+30000000+1625000+100000+60000+5460000+277400-98000+30000000</f>
        <v>242620020</v>
      </c>
      <c r="G465" s="83"/>
      <c r="H465" s="83"/>
      <c r="I465" s="84"/>
    </row>
    <row r="466" spans="1:9" ht="61.5" customHeight="1" x14ac:dyDescent="0.3">
      <c r="A466" s="52" t="s">
        <v>108</v>
      </c>
      <c r="B466" s="53">
        <v>9800</v>
      </c>
      <c r="C466" s="106" t="s">
        <v>106</v>
      </c>
      <c r="D466" s="106"/>
      <c r="E466" s="19">
        <f>E467</f>
        <v>200000</v>
      </c>
      <c r="F466" s="107" t="s">
        <v>274</v>
      </c>
      <c r="G466" s="107"/>
      <c r="H466" s="107"/>
      <c r="I466" s="107"/>
    </row>
    <row r="467" spans="1:9" s="8" customFormat="1" ht="33" customHeight="1" x14ac:dyDescent="0.3">
      <c r="A467" s="48">
        <v>9900000000</v>
      </c>
      <c r="B467" s="48"/>
      <c r="C467" s="101" t="s">
        <v>1</v>
      </c>
      <c r="D467" s="102"/>
      <c r="E467" s="20">
        <f>F467</f>
        <v>200000</v>
      </c>
      <c r="F467" s="105">
        <f>100000+100000</f>
        <v>200000</v>
      </c>
      <c r="G467" s="105"/>
      <c r="H467" s="105"/>
      <c r="I467" s="105"/>
    </row>
    <row r="468" spans="1:9" ht="79.5" customHeight="1" x14ac:dyDescent="0.3">
      <c r="A468" s="52" t="s">
        <v>107</v>
      </c>
      <c r="B468" s="53">
        <v>9800</v>
      </c>
      <c r="C468" s="106" t="s">
        <v>106</v>
      </c>
      <c r="D468" s="106"/>
      <c r="E468" s="19">
        <f>E469</f>
        <v>5648850</v>
      </c>
      <c r="F468" s="107" t="s">
        <v>229</v>
      </c>
      <c r="G468" s="107"/>
      <c r="H468" s="107"/>
      <c r="I468" s="107"/>
    </row>
    <row r="469" spans="1:9" s="8" customFormat="1" ht="33" customHeight="1" x14ac:dyDescent="0.3">
      <c r="A469" s="48">
        <v>9900000000</v>
      </c>
      <c r="B469" s="48"/>
      <c r="C469" s="101" t="s">
        <v>1</v>
      </c>
      <c r="D469" s="102"/>
      <c r="E469" s="20">
        <f>F469</f>
        <v>5648850</v>
      </c>
      <c r="F469" s="105">
        <f>2473850+375000+2800000</f>
        <v>5648850</v>
      </c>
      <c r="G469" s="105"/>
      <c r="H469" s="105"/>
      <c r="I469" s="105"/>
    </row>
    <row r="470" spans="1:9" ht="69.75" customHeight="1" x14ac:dyDescent="0.3">
      <c r="A470" s="52" t="s">
        <v>109</v>
      </c>
      <c r="B470" s="53">
        <v>9800</v>
      </c>
      <c r="C470" s="106" t="s">
        <v>106</v>
      </c>
      <c r="D470" s="106"/>
      <c r="E470" s="19">
        <f>E471</f>
        <v>78424100</v>
      </c>
      <c r="F470" s="107" t="s">
        <v>273</v>
      </c>
      <c r="G470" s="107"/>
      <c r="H470" s="107"/>
      <c r="I470" s="107"/>
    </row>
    <row r="471" spans="1:9" s="8" customFormat="1" ht="33" customHeight="1" x14ac:dyDescent="0.3">
      <c r="A471" s="48">
        <v>9900000000</v>
      </c>
      <c r="B471" s="48"/>
      <c r="C471" s="101" t="s">
        <v>1</v>
      </c>
      <c r="D471" s="102"/>
      <c r="E471" s="20">
        <f>F471</f>
        <v>78424100</v>
      </c>
      <c r="F471" s="105">
        <f>67000000+11424100</f>
        <v>78424100</v>
      </c>
      <c r="G471" s="105"/>
      <c r="H471" s="105"/>
      <c r="I471" s="105"/>
    </row>
    <row r="472" spans="1:9" s="8" customFormat="1" ht="33" customHeight="1" x14ac:dyDescent="0.3">
      <c r="A472" s="115" t="s">
        <v>121</v>
      </c>
      <c r="B472" s="116"/>
      <c r="C472" s="116"/>
      <c r="D472" s="116"/>
      <c r="E472" s="116"/>
      <c r="F472" s="116"/>
      <c r="G472" s="116"/>
      <c r="H472" s="116"/>
      <c r="I472" s="117"/>
    </row>
    <row r="473" spans="1:9" s="8" customFormat="1" ht="33" customHeight="1" x14ac:dyDescent="0.3">
      <c r="A473" s="103" t="s">
        <v>243</v>
      </c>
      <c r="B473" s="104">
        <v>9320</v>
      </c>
      <c r="C473" s="106" t="s">
        <v>244</v>
      </c>
      <c r="D473" s="106"/>
      <c r="E473" s="108">
        <f>E485+E530</f>
        <v>112940166</v>
      </c>
      <c r="F473" s="104" t="s">
        <v>296</v>
      </c>
      <c r="G473" s="104"/>
      <c r="H473" s="104"/>
      <c r="I473" s="104"/>
    </row>
    <row r="474" spans="1:9" s="8" customFormat="1" ht="68.25" customHeight="1" x14ac:dyDescent="0.3">
      <c r="A474" s="103"/>
      <c r="B474" s="104"/>
      <c r="C474" s="106"/>
      <c r="D474" s="106"/>
      <c r="E474" s="108"/>
      <c r="F474" s="107" t="s">
        <v>306</v>
      </c>
      <c r="G474" s="107"/>
      <c r="H474" s="107" t="s">
        <v>305</v>
      </c>
      <c r="I474" s="107"/>
    </row>
    <row r="475" spans="1:9" s="8" customFormat="1" ht="33" customHeight="1" x14ac:dyDescent="0.3">
      <c r="A475" s="103"/>
      <c r="B475" s="104"/>
      <c r="C475" s="106"/>
      <c r="D475" s="106"/>
      <c r="E475" s="108"/>
      <c r="F475" s="107">
        <f>F485+F530</f>
        <v>39348266</v>
      </c>
      <c r="G475" s="107"/>
      <c r="H475" s="107">
        <f>H485+H530</f>
        <v>73591900</v>
      </c>
      <c r="I475" s="107"/>
    </row>
    <row r="476" spans="1:9" s="8" customFormat="1" ht="33" customHeight="1" x14ac:dyDescent="0.3">
      <c r="A476" s="13">
        <v>457400000</v>
      </c>
      <c r="B476" s="51"/>
      <c r="C476" s="81" t="s">
        <v>15</v>
      </c>
      <c r="D476" s="81"/>
      <c r="E476" s="23">
        <f>F476+H476</f>
        <v>1738215</v>
      </c>
      <c r="F476" s="105">
        <v>467123</v>
      </c>
      <c r="G476" s="105"/>
      <c r="H476" s="105">
        <f>1271092</f>
        <v>1271092</v>
      </c>
      <c r="I476" s="105"/>
    </row>
    <row r="477" spans="1:9" ht="33" customHeight="1" x14ac:dyDescent="0.3">
      <c r="A477" s="13">
        <v>457600000</v>
      </c>
      <c r="B477" s="51"/>
      <c r="C477" s="81" t="s">
        <v>17</v>
      </c>
      <c r="D477" s="81"/>
      <c r="E477" s="23">
        <f t="shared" ref="E477:E529" si="16">F477+H477</f>
        <v>32342764</v>
      </c>
      <c r="F477" s="105">
        <v>10304197</v>
      </c>
      <c r="G477" s="105"/>
      <c r="H477" s="105">
        <f>22038567</f>
        <v>22038567</v>
      </c>
      <c r="I477" s="105"/>
    </row>
    <row r="478" spans="1:9" ht="33" customHeight="1" x14ac:dyDescent="0.3">
      <c r="A478" s="13">
        <v>457700000</v>
      </c>
      <c r="B478" s="51"/>
      <c r="C478" s="81" t="s">
        <v>18</v>
      </c>
      <c r="D478" s="81"/>
      <c r="E478" s="23">
        <f t="shared" si="16"/>
        <v>3426159</v>
      </c>
      <c r="F478" s="105">
        <v>1165845</v>
      </c>
      <c r="G478" s="105"/>
      <c r="H478" s="105">
        <f>2260314</f>
        <v>2260314</v>
      </c>
      <c r="I478" s="105"/>
    </row>
    <row r="479" spans="1:9" ht="33" customHeight="1" x14ac:dyDescent="0.3">
      <c r="A479" s="13">
        <v>457100000</v>
      </c>
      <c r="B479" s="51"/>
      <c r="C479" s="81" t="s">
        <v>125</v>
      </c>
      <c r="D479" s="81"/>
      <c r="E479" s="23">
        <f t="shared" si="16"/>
        <v>13782989</v>
      </c>
      <c r="F479" s="105">
        <v>6394485</v>
      </c>
      <c r="G479" s="105"/>
      <c r="H479" s="105">
        <f>7388504</f>
        <v>7388504</v>
      </c>
      <c r="I479" s="105"/>
    </row>
    <row r="480" spans="1:9" ht="33" customHeight="1" x14ac:dyDescent="0.3">
      <c r="A480" s="13">
        <v>458200000</v>
      </c>
      <c r="B480" s="57"/>
      <c r="C480" s="81" t="s">
        <v>22</v>
      </c>
      <c r="D480" s="81"/>
      <c r="E480" s="23">
        <f t="shared" si="16"/>
        <v>2365931</v>
      </c>
      <c r="F480" s="105">
        <v>141315</v>
      </c>
      <c r="G480" s="105"/>
      <c r="H480" s="105">
        <f>2224616</f>
        <v>2224616</v>
      </c>
      <c r="I480" s="105"/>
    </row>
    <row r="481" spans="1:9" ht="33" customHeight="1" x14ac:dyDescent="0.3">
      <c r="A481" s="13">
        <v>458400000</v>
      </c>
      <c r="B481" s="57"/>
      <c r="C481" s="81" t="s">
        <v>24</v>
      </c>
      <c r="D481" s="81"/>
      <c r="E481" s="23">
        <f t="shared" si="16"/>
        <v>4575059</v>
      </c>
      <c r="F481" s="105">
        <v>1307160</v>
      </c>
      <c r="G481" s="105"/>
      <c r="H481" s="105">
        <f>3267899</f>
        <v>3267899</v>
      </c>
      <c r="I481" s="105"/>
    </row>
    <row r="482" spans="1:9" ht="33" customHeight="1" x14ac:dyDescent="0.3">
      <c r="A482" s="13">
        <v>458500000</v>
      </c>
      <c r="B482" s="57"/>
      <c r="C482" s="81" t="s">
        <v>25</v>
      </c>
      <c r="D482" s="81"/>
      <c r="E482" s="23">
        <f t="shared" si="16"/>
        <v>1485759</v>
      </c>
      <c r="F482" s="105">
        <v>631990</v>
      </c>
      <c r="G482" s="105"/>
      <c r="H482" s="105">
        <f>853769</f>
        <v>853769</v>
      </c>
      <c r="I482" s="105"/>
    </row>
    <row r="483" spans="1:9" ht="31.5" customHeight="1" x14ac:dyDescent="0.3">
      <c r="A483" s="13">
        <v>458900000</v>
      </c>
      <c r="B483" s="57"/>
      <c r="C483" s="81" t="s">
        <v>29</v>
      </c>
      <c r="D483" s="81"/>
      <c r="E483" s="23">
        <f t="shared" si="16"/>
        <v>3800700</v>
      </c>
      <c r="F483" s="105">
        <v>953873</v>
      </c>
      <c r="G483" s="105"/>
      <c r="H483" s="105">
        <f>2846827</f>
        <v>2846827</v>
      </c>
      <c r="I483" s="105"/>
    </row>
    <row r="484" spans="1:9" ht="33" customHeight="1" x14ac:dyDescent="0.3">
      <c r="A484" s="13">
        <v>459100000</v>
      </c>
      <c r="B484" s="57"/>
      <c r="C484" s="81" t="s">
        <v>30</v>
      </c>
      <c r="D484" s="81"/>
      <c r="E484" s="23">
        <f t="shared" si="16"/>
        <v>1809017</v>
      </c>
      <c r="F484" s="105">
        <v>604512</v>
      </c>
      <c r="G484" s="105"/>
      <c r="H484" s="105">
        <f>1204505</f>
        <v>1204505</v>
      </c>
      <c r="I484" s="105"/>
    </row>
    <row r="485" spans="1:9" s="8" customFormat="1" ht="33" customHeight="1" x14ac:dyDescent="0.3">
      <c r="A485" s="85" t="s">
        <v>97</v>
      </c>
      <c r="B485" s="85"/>
      <c r="C485" s="85"/>
      <c r="D485" s="85"/>
      <c r="E485" s="19">
        <f>SUM(E476:E484)</f>
        <v>65326593</v>
      </c>
      <c r="F485" s="107">
        <f>SUM(F476:G484)</f>
        <v>21970500</v>
      </c>
      <c r="G485" s="107"/>
      <c r="H485" s="107">
        <f>SUM(H476:I484)</f>
        <v>43356093</v>
      </c>
      <c r="I485" s="107"/>
    </row>
    <row r="486" spans="1:9" s="8" customFormat="1" ht="33" customHeight="1" x14ac:dyDescent="0.3">
      <c r="A486" s="13">
        <v>450100000</v>
      </c>
      <c r="B486" s="57"/>
      <c r="C486" s="81" t="s">
        <v>33</v>
      </c>
      <c r="D486" s="81"/>
      <c r="E486" s="20">
        <f t="shared" si="16"/>
        <v>353286</v>
      </c>
      <c r="F486" s="105">
        <v>353286</v>
      </c>
      <c r="G486" s="105"/>
      <c r="H486" s="105"/>
      <c r="I486" s="105"/>
    </row>
    <row r="487" spans="1:9" s="8" customFormat="1" ht="33" customHeight="1" x14ac:dyDescent="0.3">
      <c r="A487" s="13">
        <v>450200000</v>
      </c>
      <c r="B487" s="57"/>
      <c r="C487" s="81" t="s">
        <v>34</v>
      </c>
      <c r="D487" s="81"/>
      <c r="E487" s="20">
        <f t="shared" si="16"/>
        <v>314032</v>
      </c>
      <c r="F487" s="105">
        <v>314032</v>
      </c>
      <c r="G487" s="105"/>
      <c r="H487" s="105"/>
      <c r="I487" s="105"/>
    </row>
    <row r="488" spans="1:9" s="8" customFormat="1" ht="33" customHeight="1" x14ac:dyDescent="0.3">
      <c r="A488" s="13">
        <v>451800000</v>
      </c>
      <c r="B488" s="57"/>
      <c r="C488" s="81" t="s">
        <v>35</v>
      </c>
      <c r="D488" s="81"/>
      <c r="E488" s="20">
        <f t="shared" si="16"/>
        <v>494601</v>
      </c>
      <c r="F488" s="105">
        <v>494601</v>
      </c>
      <c r="G488" s="105"/>
      <c r="H488" s="105"/>
      <c r="I488" s="105"/>
    </row>
    <row r="489" spans="1:9" s="8" customFormat="1" ht="33" customHeight="1" x14ac:dyDescent="0.3">
      <c r="A489" s="13">
        <v>457200000</v>
      </c>
      <c r="B489" s="57"/>
      <c r="C489" s="81" t="s">
        <v>14</v>
      </c>
      <c r="D489" s="81"/>
      <c r="E489" s="20">
        <f t="shared" si="16"/>
        <v>141315</v>
      </c>
      <c r="F489" s="105">
        <v>141315</v>
      </c>
      <c r="G489" s="105"/>
      <c r="H489" s="105"/>
      <c r="I489" s="105"/>
    </row>
    <row r="490" spans="1:9" s="8" customFormat="1" ht="33" customHeight="1" x14ac:dyDescent="0.3">
      <c r="A490" s="13">
        <v>451900000</v>
      </c>
      <c r="B490" s="57"/>
      <c r="C490" s="81" t="s">
        <v>47</v>
      </c>
      <c r="D490" s="81"/>
      <c r="E490" s="20">
        <f t="shared" si="16"/>
        <v>1904859</v>
      </c>
      <c r="F490" s="105">
        <v>847887</v>
      </c>
      <c r="G490" s="105"/>
      <c r="H490" s="105">
        <f>1056972</f>
        <v>1056972</v>
      </c>
      <c r="I490" s="105"/>
    </row>
    <row r="491" spans="1:9" ht="33" customHeight="1" x14ac:dyDescent="0.3">
      <c r="A491" s="13">
        <v>450300000</v>
      </c>
      <c r="B491" s="57"/>
      <c r="C491" s="81" t="s">
        <v>36</v>
      </c>
      <c r="D491" s="81"/>
      <c r="E491" s="20">
        <f t="shared" si="16"/>
        <v>695059</v>
      </c>
      <c r="F491" s="105"/>
      <c r="G491" s="105"/>
      <c r="H491" s="105">
        <f>695059</f>
        <v>695059</v>
      </c>
      <c r="I491" s="105"/>
    </row>
    <row r="492" spans="1:9" s="8" customFormat="1" ht="33" customHeight="1" x14ac:dyDescent="0.3">
      <c r="A492" s="13">
        <v>457300000</v>
      </c>
      <c r="B492" s="57"/>
      <c r="C492" s="81" t="s">
        <v>112</v>
      </c>
      <c r="D492" s="81"/>
      <c r="E492" s="20">
        <f t="shared" si="16"/>
        <v>2653113</v>
      </c>
      <c r="F492" s="105">
        <v>423944</v>
      </c>
      <c r="G492" s="105"/>
      <c r="H492" s="105">
        <f>2229169</f>
        <v>2229169</v>
      </c>
      <c r="I492" s="105"/>
    </row>
    <row r="493" spans="1:9" s="8" customFormat="1" ht="33" customHeight="1" x14ac:dyDescent="0.3">
      <c r="A493" s="13">
        <v>453600000</v>
      </c>
      <c r="B493" s="57"/>
      <c r="C493" s="81" t="s">
        <v>60</v>
      </c>
      <c r="D493" s="81"/>
      <c r="E493" s="20">
        <f t="shared" si="16"/>
        <v>2876326</v>
      </c>
      <c r="F493" s="105">
        <v>1377817</v>
      </c>
      <c r="G493" s="105"/>
      <c r="H493" s="105">
        <f>1498509</f>
        <v>1498509</v>
      </c>
      <c r="I493" s="105"/>
    </row>
    <row r="494" spans="1:9" ht="33" customHeight="1" x14ac:dyDescent="0.3">
      <c r="A494" s="13">
        <v>452000000</v>
      </c>
      <c r="B494" s="57"/>
      <c r="C494" s="81" t="s">
        <v>48</v>
      </c>
      <c r="D494" s="81"/>
      <c r="E494" s="20">
        <f t="shared" si="16"/>
        <v>141315</v>
      </c>
      <c r="F494" s="105">
        <v>141315</v>
      </c>
      <c r="G494" s="105"/>
      <c r="H494" s="105"/>
      <c r="I494" s="105"/>
    </row>
    <row r="495" spans="1:9" ht="33" customHeight="1" x14ac:dyDescent="0.3">
      <c r="A495" s="13">
        <v>456300000</v>
      </c>
      <c r="B495" s="57"/>
      <c r="C495" s="81" t="s">
        <v>7</v>
      </c>
      <c r="D495" s="81"/>
      <c r="E495" s="20">
        <f t="shared" si="16"/>
        <v>251226</v>
      </c>
      <c r="F495" s="105">
        <v>251226</v>
      </c>
      <c r="G495" s="105"/>
      <c r="H495" s="105"/>
      <c r="I495" s="105"/>
    </row>
    <row r="496" spans="1:9" ht="33" customHeight="1" x14ac:dyDescent="0.3">
      <c r="A496" s="13">
        <v>457500000</v>
      </c>
      <c r="B496" s="57"/>
      <c r="C496" s="81" t="s">
        <v>16</v>
      </c>
      <c r="D496" s="81"/>
      <c r="E496" s="20">
        <f t="shared" si="16"/>
        <v>2296362</v>
      </c>
      <c r="F496" s="105">
        <v>565258</v>
      </c>
      <c r="G496" s="105"/>
      <c r="H496" s="105">
        <f>1731104</f>
        <v>1731104</v>
      </c>
      <c r="I496" s="105"/>
    </row>
    <row r="497" spans="1:9" ht="33" customHeight="1" x14ac:dyDescent="0.3">
      <c r="A497" s="13">
        <v>455600000</v>
      </c>
      <c r="B497" s="57"/>
      <c r="C497" s="81" t="s">
        <v>73</v>
      </c>
      <c r="D497" s="81"/>
      <c r="E497" s="20">
        <f t="shared" si="16"/>
        <v>353286</v>
      </c>
      <c r="F497" s="105">
        <v>353286</v>
      </c>
      <c r="G497" s="105"/>
      <c r="H497" s="105"/>
      <c r="I497" s="105"/>
    </row>
    <row r="498" spans="1:9" ht="33" customHeight="1" x14ac:dyDescent="0.3">
      <c r="A498" s="13" t="s">
        <v>151</v>
      </c>
      <c r="B498" s="57"/>
      <c r="C498" s="81" t="s">
        <v>152</v>
      </c>
      <c r="D498" s="81"/>
      <c r="E498" s="20">
        <f t="shared" si="16"/>
        <v>188419</v>
      </c>
      <c r="F498" s="105">
        <v>188419</v>
      </c>
      <c r="G498" s="105"/>
      <c r="H498" s="105"/>
      <c r="I498" s="105"/>
    </row>
    <row r="499" spans="1:9" ht="33" customHeight="1" x14ac:dyDescent="0.3">
      <c r="A499" s="13">
        <v>456400000</v>
      </c>
      <c r="B499" s="57"/>
      <c r="C499" s="81" t="s">
        <v>8</v>
      </c>
      <c r="D499" s="81"/>
      <c r="E499" s="20">
        <f t="shared" si="16"/>
        <v>211972</v>
      </c>
      <c r="F499" s="105">
        <v>211972</v>
      </c>
      <c r="G499" s="105"/>
      <c r="H499" s="105"/>
      <c r="I499" s="105"/>
    </row>
    <row r="500" spans="1:9" ht="33" customHeight="1" x14ac:dyDescent="0.3">
      <c r="A500" s="13">
        <v>454700000</v>
      </c>
      <c r="B500" s="57"/>
      <c r="C500" s="81" t="s">
        <v>66</v>
      </c>
      <c r="D500" s="81"/>
      <c r="E500" s="20">
        <f t="shared" si="16"/>
        <v>2210110</v>
      </c>
      <c r="F500" s="105">
        <v>529930</v>
      </c>
      <c r="G500" s="105"/>
      <c r="H500" s="105">
        <f>1680180</f>
        <v>1680180</v>
      </c>
      <c r="I500" s="105"/>
    </row>
    <row r="501" spans="1:9" ht="33" customHeight="1" x14ac:dyDescent="0.3">
      <c r="A501" s="13" t="s">
        <v>156</v>
      </c>
      <c r="B501" s="57"/>
      <c r="C501" s="81" t="s">
        <v>157</v>
      </c>
      <c r="D501" s="81"/>
      <c r="E501" s="20">
        <f t="shared" si="16"/>
        <v>141315</v>
      </c>
      <c r="F501" s="105">
        <v>141315</v>
      </c>
      <c r="G501" s="105"/>
      <c r="H501" s="105"/>
      <c r="I501" s="105"/>
    </row>
    <row r="502" spans="1:9" ht="33" customHeight="1" x14ac:dyDescent="0.3">
      <c r="A502" s="13">
        <v>452100000</v>
      </c>
      <c r="B502" s="57"/>
      <c r="C502" s="81" t="s">
        <v>49</v>
      </c>
      <c r="D502" s="81"/>
      <c r="E502" s="20">
        <f t="shared" si="16"/>
        <v>785081</v>
      </c>
      <c r="F502" s="105">
        <v>785081</v>
      </c>
      <c r="G502" s="105"/>
      <c r="H502" s="105"/>
      <c r="I502" s="105"/>
    </row>
    <row r="503" spans="1:9" ht="33" customHeight="1" x14ac:dyDescent="0.3">
      <c r="A503" s="13">
        <v>452200000</v>
      </c>
      <c r="B503" s="57"/>
      <c r="C503" s="81" t="s">
        <v>50</v>
      </c>
      <c r="D503" s="81"/>
      <c r="E503" s="20">
        <f t="shared" si="16"/>
        <v>176643</v>
      </c>
      <c r="F503" s="105">
        <v>176643</v>
      </c>
      <c r="G503" s="105"/>
      <c r="H503" s="105"/>
      <c r="I503" s="105"/>
    </row>
    <row r="504" spans="1:9" ht="33" customHeight="1" x14ac:dyDescent="0.3">
      <c r="A504" s="13">
        <v>455700000</v>
      </c>
      <c r="B504" s="57"/>
      <c r="C504" s="81" t="s">
        <v>74</v>
      </c>
      <c r="D504" s="81"/>
      <c r="E504" s="20">
        <f t="shared" si="16"/>
        <v>251226</v>
      </c>
      <c r="F504" s="105">
        <v>251226</v>
      </c>
      <c r="G504" s="105"/>
      <c r="H504" s="105"/>
      <c r="I504" s="105"/>
    </row>
    <row r="505" spans="1:9" ht="33" customHeight="1" x14ac:dyDescent="0.3">
      <c r="A505" s="13" t="s">
        <v>163</v>
      </c>
      <c r="B505" s="57"/>
      <c r="C505" s="81" t="s">
        <v>164</v>
      </c>
      <c r="D505" s="81"/>
      <c r="E505" s="20">
        <f t="shared" si="16"/>
        <v>70657</v>
      </c>
      <c r="F505" s="105">
        <v>70657</v>
      </c>
      <c r="G505" s="105"/>
      <c r="H505" s="105"/>
      <c r="I505" s="105"/>
    </row>
    <row r="506" spans="1:9" ht="33" customHeight="1" x14ac:dyDescent="0.3">
      <c r="A506" s="13">
        <v>456500000</v>
      </c>
      <c r="B506" s="57"/>
      <c r="C506" s="81" t="s">
        <v>9</v>
      </c>
      <c r="D506" s="81"/>
      <c r="E506" s="20">
        <f t="shared" si="16"/>
        <v>3350507</v>
      </c>
      <c r="F506" s="105">
        <v>1165845</v>
      </c>
      <c r="G506" s="105"/>
      <c r="H506" s="105">
        <f>2184662</f>
        <v>2184662</v>
      </c>
      <c r="I506" s="105"/>
    </row>
    <row r="507" spans="1:9" ht="33" customHeight="1" x14ac:dyDescent="0.3">
      <c r="A507" s="13">
        <v>453700000</v>
      </c>
      <c r="B507" s="57"/>
      <c r="C507" s="81" t="s">
        <v>61</v>
      </c>
      <c r="D507" s="81"/>
      <c r="E507" s="20">
        <f t="shared" si="16"/>
        <v>1848498</v>
      </c>
      <c r="F507" s="105">
        <v>317958</v>
      </c>
      <c r="G507" s="105"/>
      <c r="H507" s="105">
        <f>1530540</f>
        <v>1530540</v>
      </c>
      <c r="I507" s="105"/>
    </row>
    <row r="508" spans="1:9" ht="33" customHeight="1" x14ac:dyDescent="0.3">
      <c r="A508" s="13">
        <v>454400000</v>
      </c>
      <c r="B508" s="57"/>
      <c r="C508" s="81" t="s">
        <v>99</v>
      </c>
      <c r="D508" s="81"/>
      <c r="E508" s="20">
        <f t="shared" si="16"/>
        <v>3102403</v>
      </c>
      <c r="F508" s="105">
        <v>353286</v>
      </c>
      <c r="G508" s="105"/>
      <c r="H508" s="105">
        <f>2749117</f>
        <v>2749117</v>
      </c>
      <c r="I508" s="105"/>
    </row>
    <row r="509" spans="1:9" ht="33" customHeight="1" x14ac:dyDescent="0.3">
      <c r="A509" s="13">
        <v>450900000</v>
      </c>
      <c r="B509" s="57"/>
      <c r="C509" s="81" t="s">
        <v>41</v>
      </c>
      <c r="D509" s="81"/>
      <c r="E509" s="20">
        <f t="shared" si="16"/>
        <v>141315</v>
      </c>
      <c r="F509" s="105">
        <v>141315</v>
      </c>
      <c r="G509" s="105"/>
      <c r="H509" s="105"/>
      <c r="I509" s="105"/>
    </row>
    <row r="510" spans="1:9" ht="33" customHeight="1" x14ac:dyDescent="0.3">
      <c r="A510" s="13">
        <v>453200000</v>
      </c>
      <c r="B510" s="57"/>
      <c r="C510" s="81" t="s">
        <v>59</v>
      </c>
      <c r="D510" s="81"/>
      <c r="E510" s="20">
        <f t="shared" si="16"/>
        <v>70657</v>
      </c>
      <c r="F510" s="105">
        <v>70657</v>
      </c>
      <c r="G510" s="105"/>
      <c r="H510" s="105"/>
      <c r="I510" s="105"/>
    </row>
    <row r="511" spans="1:9" ht="33" customHeight="1" x14ac:dyDescent="0.3">
      <c r="A511" s="13">
        <v>455800000</v>
      </c>
      <c r="B511" s="57"/>
      <c r="C511" s="81" t="s">
        <v>75</v>
      </c>
      <c r="D511" s="81"/>
      <c r="E511" s="20">
        <f t="shared" si="16"/>
        <v>888643</v>
      </c>
      <c r="F511" s="105">
        <v>529930</v>
      </c>
      <c r="G511" s="105"/>
      <c r="H511" s="105">
        <f>358713</f>
        <v>358713</v>
      </c>
      <c r="I511" s="105"/>
    </row>
    <row r="512" spans="1:9" ht="33" customHeight="1" x14ac:dyDescent="0.3">
      <c r="A512" s="13">
        <v>454300000</v>
      </c>
      <c r="B512" s="57"/>
      <c r="C512" s="81" t="s">
        <v>64</v>
      </c>
      <c r="D512" s="81"/>
      <c r="E512" s="20">
        <f t="shared" si="16"/>
        <v>1641733</v>
      </c>
      <c r="F512" s="105">
        <v>785081</v>
      </c>
      <c r="G512" s="105"/>
      <c r="H512" s="105">
        <f>856652</f>
        <v>856652</v>
      </c>
      <c r="I512" s="105"/>
    </row>
    <row r="513" spans="1:9" ht="33" customHeight="1" x14ac:dyDescent="0.3">
      <c r="A513" s="13">
        <v>456800000</v>
      </c>
      <c r="B513" s="57"/>
      <c r="C513" s="81" t="s">
        <v>12</v>
      </c>
      <c r="D513" s="81"/>
      <c r="E513" s="20">
        <f t="shared" si="16"/>
        <v>2346763</v>
      </c>
      <c r="F513" s="105"/>
      <c r="G513" s="105"/>
      <c r="H513" s="105">
        <f>2346763</f>
        <v>2346763</v>
      </c>
      <c r="I513" s="105"/>
    </row>
    <row r="514" spans="1:9" ht="33" customHeight="1" x14ac:dyDescent="0.3">
      <c r="A514" s="13">
        <v>455900000</v>
      </c>
      <c r="B514" s="57"/>
      <c r="C514" s="81" t="s">
        <v>76</v>
      </c>
      <c r="D514" s="81"/>
      <c r="E514" s="20">
        <f t="shared" si="16"/>
        <v>2717399</v>
      </c>
      <c r="F514" s="105">
        <v>282629</v>
      </c>
      <c r="G514" s="105"/>
      <c r="H514" s="105">
        <f>2434770</f>
        <v>2434770</v>
      </c>
      <c r="I514" s="105"/>
    </row>
    <row r="515" spans="1:9" ht="33" customHeight="1" x14ac:dyDescent="0.3">
      <c r="A515" s="13">
        <v>458800000</v>
      </c>
      <c r="B515" s="57"/>
      <c r="C515" s="81" t="s">
        <v>28</v>
      </c>
      <c r="D515" s="81"/>
      <c r="E515" s="20">
        <f t="shared" si="16"/>
        <v>3141366</v>
      </c>
      <c r="F515" s="105">
        <v>1165845</v>
      </c>
      <c r="G515" s="105"/>
      <c r="H515" s="105">
        <f>1975521</f>
        <v>1975521</v>
      </c>
      <c r="I515" s="105"/>
    </row>
    <row r="516" spans="1:9" ht="33" customHeight="1" x14ac:dyDescent="0.3">
      <c r="A516" s="13">
        <v>454600000</v>
      </c>
      <c r="B516" s="57"/>
      <c r="C516" s="81" t="s">
        <v>65</v>
      </c>
      <c r="D516" s="81"/>
      <c r="E516" s="20">
        <f t="shared" si="16"/>
        <v>494601</v>
      </c>
      <c r="F516" s="105">
        <v>494601</v>
      </c>
      <c r="G516" s="105"/>
      <c r="H516" s="105"/>
      <c r="I516" s="105"/>
    </row>
    <row r="517" spans="1:9" ht="33" customHeight="1" x14ac:dyDescent="0.3">
      <c r="A517" s="13">
        <v>452400000</v>
      </c>
      <c r="B517" s="57"/>
      <c r="C517" s="81" t="s">
        <v>52</v>
      </c>
      <c r="D517" s="81"/>
      <c r="E517" s="20">
        <f t="shared" si="16"/>
        <v>105986</v>
      </c>
      <c r="F517" s="105">
        <v>105986</v>
      </c>
      <c r="G517" s="105"/>
      <c r="H517" s="105"/>
      <c r="I517" s="105"/>
    </row>
    <row r="518" spans="1:9" ht="33" customHeight="1" x14ac:dyDescent="0.3">
      <c r="A518" s="13">
        <v>455500000</v>
      </c>
      <c r="B518" s="57"/>
      <c r="C518" s="81" t="s">
        <v>72</v>
      </c>
      <c r="D518" s="81"/>
      <c r="E518" s="20">
        <f t="shared" si="16"/>
        <v>423944</v>
      </c>
      <c r="F518" s="105">
        <v>423944</v>
      </c>
      <c r="G518" s="105"/>
      <c r="H518" s="105"/>
      <c r="I518" s="105"/>
    </row>
    <row r="519" spans="1:9" ht="33" customHeight="1" x14ac:dyDescent="0.3">
      <c r="A519" s="13">
        <v>450400000</v>
      </c>
      <c r="B519" s="57"/>
      <c r="C519" s="81" t="s">
        <v>37</v>
      </c>
      <c r="D519" s="81"/>
      <c r="E519" s="20">
        <f t="shared" si="16"/>
        <v>211972</v>
      </c>
      <c r="F519" s="105">
        <v>211972</v>
      </c>
      <c r="G519" s="105"/>
      <c r="H519" s="105"/>
      <c r="I519" s="105"/>
    </row>
    <row r="520" spans="1:9" ht="33" customHeight="1" x14ac:dyDescent="0.3">
      <c r="A520" s="13">
        <v>454800000</v>
      </c>
      <c r="B520" s="57"/>
      <c r="C520" s="81" t="s">
        <v>209</v>
      </c>
      <c r="D520" s="81"/>
      <c r="E520" s="20">
        <f t="shared" si="16"/>
        <v>70657</v>
      </c>
      <c r="F520" s="105">
        <v>70657</v>
      </c>
      <c r="G520" s="105"/>
      <c r="H520" s="105"/>
      <c r="I520" s="105"/>
    </row>
    <row r="521" spans="1:9" ht="33" customHeight="1" x14ac:dyDescent="0.3">
      <c r="A521" s="13">
        <v>451500000</v>
      </c>
      <c r="B521" s="57"/>
      <c r="C521" s="81" t="s">
        <v>45</v>
      </c>
      <c r="D521" s="81"/>
      <c r="E521" s="20">
        <f t="shared" si="16"/>
        <v>296448</v>
      </c>
      <c r="F521" s="105"/>
      <c r="G521" s="105"/>
      <c r="H521" s="105">
        <v>296448</v>
      </c>
      <c r="I521" s="105"/>
    </row>
    <row r="522" spans="1:9" s="2" customFormat="1" ht="33" customHeight="1" x14ac:dyDescent="0.3">
      <c r="A522" s="13">
        <v>451300000</v>
      </c>
      <c r="B522" s="57"/>
      <c r="C522" s="81" t="s">
        <v>44</v>
      </c>
      <c r="D522" s="81"/>
      <c r="E522" s="20">
        <f t="shared" si="16"/>
        <v>2744573</v>
      </c>
      <c r="F522" s="105">
        <v>1059859</v>
      </c>
      <c r="G522" s="105"/>
      <c r="H522" s="105">
        <f>1684714</f>
        <v>1684714</v>
      </c>
      <c r="I522" s="105"/>
    </row>
    <row r="523" spans="1:9" s="2" customFormat="1" ht="33" customHeight="1" x14ac:dyDescent="0.3">
      <c r="A523" s="13">
        <v>452500000</v>
      </c>
      <c r="B523" s="57"/>
      <c r="C523" s="81" t="s">
        <v>53</v>
      </c>
      <c r="D523" s="81"/>
      <c r="E523" s="20">
        <f t="shared" si="16"/>
        <v>1106628</v>
      </c>
      <c r="F523" s="105">
        <v>317958</v>
      </c>
      <c r="G523" s="105"/>
      <c r="H523" s="105">
        <f>788670</f>
        <v>788670</v>
      </c>
      <c r="I523" s="105"/>
    </row>
    <row r="524" spans="1:9" s="2" customFormat="1" ht="33" customHeight="1" x14ac:dyDescent="0.3">
      <c r="A524" s="13">
        <v>452700000</v>
      </c>
      <c r="B524" s="57"/>
      <c r="C524" s="81" t="s">
        <v>55</v>
      </c>
      <c r="D524" s="81"/>
      <c r="E524" s="20">
        <f t="shared" si="16"/>
        <v>1582231</v>
      </c>
      <c r="F524" s="105">
        <v>565258</v>
      </c>
      <c r="G524" s="105"/>
      <c r="H524" s="105">
        <f>1016973</f>
        <v>1016973</v>
      </c>
      <c r="I524" s="105"/>
    </row>
    <row r="525" spans="1:9" s="2" customFormat="1" ht="33" customHeight="1" x14ac:dyDescent="0.3">
      <c r="A525" s="13">
        <v>457000000</v>
      </c>
      <c r="B525" s="57"/>
      <c r="C525" s="81" t="s">
        <v>13</v>
      </c>
      <c r="D525" s="81"/>
      <c r="E525" s="20">
        <f t="shared" si="16"/>
        <v>1794579</v>
      </c>
      <c r="F525" s="105">
        <v>282629</v>
      </c>
      <c r="G525" s="105"/>
      <c r="H525" s="105">
        <f>1511950</f>
        <v>1511950</v>
      </c>
      <c r="I525" s="105"/>
    </row>
    <row r="526" spans="1:9" s="2" customFormat="1" ht="33" customHeight="1" x14ac:dyDescent="0.3">
      <c r="A526" s="13">
        <v>456700000</v>
      </c>
      <c r="B526" s="57"/>
      <c r="C526" s="81" t="s">
        <v>11</v>
      </c>
      <c r="D526" s="81"/>
      <c r="E526" s="20">
        <f t="shared" si="16"/>
        <v>282629</v>
      </c>
      <c r="F526" s="105">
        <v>282629</v>
      </c>
      <c r="G526" s="105"/>
      <c r="H526" s="105"/>
      <c r="I526" s="105"/>
    </row>
    <row r="527" spans="1:9" s="2" customFormat="1" ht="33" customHeight="1" x14ac:dyDescent="0.3">
      <c r="A527" s="13">
        <v>456000000</v>
      </c>
      <c r="B527" s="57"/>
      <c r="C527" s="81" t="s">
        <v>198</v>
      </c>
      <c r="D527" s="81"/>
      <c r="E527" s="20">
        <f t="shared" si="16"/>
        <v>94210</v>
      </c>
      <c r="F527" s="105">
        <v>94210</v>
      </c>
      <c r="G527" s="105"/>
      <c r="H527" s="105"/>
      <c r="I527" s="105"/>
    </row>
    <row r="528" spans="1:9" s="2" customFormat="1" ht="33" customHeight="1" x14ac:dyDescent="0.3">
      <c r="A528" s="13">
        <v>455100000</v>
      </c>
      <c r="B528" s="57"/>
      <c r="C528" s="81" t="s">
        <v>68</v>
      </c>
      <c r="D528" s="81"/>
      <c r="E528" s="20">
        <f t="shared" si="16"/>
        <v>1469152</v>
      </c>
      <c r="F528" s="105">
        <v>565258</v>
      </c>
      <c r="G528" s="105"/>
      <c r="H528" s="105">
        <f>903894</f>
        <v>903894</v>
      </c>
      <c r="I528" s="105"/>
    </row>
    <row r="529" spans="1:9" s="2" customFormat="1" ht="33" customHeight="1" x14ac:dyDescent="0.3">
      <c r="A529" s="13">
        <v>455200000</v>
      </c>
      <c r="B529" s="57"/>
      <c r="C529" s="81" t="s">
        <v>69</v>
      </c>
      <c r="D529" s="81"/>
      <c r="E529" s="20">
        <f t="shared" si="16"/>
        <v>1176476</v>
      </c>
      <c r="F529" s="105">
        <v>471049</v>
      </c>
      <c r="G529" s="105"/>
      <c r="H529" s="105">
        <f>705427</f>
        <v>705427</v>
      </c>
      <c r="I529" s="105"/>
    </row>
    <row r="530" spans="1:9" s="4" customFormat="1" ht="33" customHeight="1" x14ac:dyDescent="0.3">
      <c r="A530" s="85" t="s">
        <v>80</v>
      </c>
      <c r="B530" s="85"/>
      <c r="C530" s="85"/>
      <c r="D530" s="85"/>
      <c r="E530" s="19">
        <f>SUM(E486:E529)</f>
        <v>47613573</v>
      </c>
      <c r="F530" s="86">
        <f>SUM(F486:G529)</f>
        <v>17377766</v>
      </c>
      <c r="G530" s="87"/>
      <c r="H530" s="107">
        <f>SUM(H486:I529)</f>
        <v>30235807</v>
      </c>
      <c r="I530" s="107"/>
    </row>
    <row r="531" spans="1:9" s="8" customFormat="1" ht="48" customHeight="1" x14ac:dyDescent="0.3">
      <c r="A531" s="52" t="s">
        <v>120</v>
      </c>
      <c r="B531" s="53">
        <v>9770</v>
      </c>
      <c r="C531" s="106" t="s">
        <v>128</v>
      </c>
      <c r="D531" s="106"/>
      <c r="E531" s="22">
        <f>E539+E535</f>
        <v>761000</v>
      </c>
      <c r="F531" s="93"/>
      <c r="G531" s="94"/>
      <c r="H531" s="94"/>
      <c r="I531" s="95"/>
    </row>
    <row r="532" spans="1:9" ht="33" customHeight="1" x14ac:dyDescent="0.3">
      <c r="A532" s="13">
        <v>457700000</v>
      </c>
      <c r="B532" s="51"/>
      <c r="C532" s="81" t="s">
        <v>18</v>
      </c>
      <c r="D532" s="81"/>
      <c r="E532" s="20">
        <v>210000</v>
      </c>
      <c r="F532" s="82"/>
      <c r="G532" s="83"/>
      <c r="H532" s="83"/>
      <c r="I532" s="84"/>
    </row>
    <row r="533" spans="1:9" ht="33" customHeight="1" x14ac:dyDescent="0.3">
      <c r="A533" s="13">
        <v>458200000</v>
      </c>
      <c r="B533" s="51"/>
      <c r="C533" s="81" t="s">
        <v>22</v>
      </c>
      <c r="D533" s="81"/>
      <c r="E533" s="20">
        <v>250000</v>
      </c>
      <c r="F533" s="82"/>
      <c r="G533" s="83"/>
      <c r="H533" s="83"/>
      <c r="I533" s="84"/>
    </row>
    <row r="534" spans="1:9" ht="33" customHeight="1" x14ac:dyDescent="0.3">
      <c r="A534" s="13">
        <v>459100000</v>
      </c>
      <c r="B534" s="51"/>
      <c r="C534" s="81" t="s">
        <v>30</v>
      </c>
      <c r="D534" s="81"/>
      <c r="E534" s="20">
        <v>40000</v>
      </c>
      <c r="F534" s="82"/>
      <c r="G534" s="83"/>
      <c r="H534" s="83"/>
      <c r="I534" s="84"/>
    </row>
    <row r="535" spans="1:9" s="8" customFormat="1" ht="33" customHeight="1" x14ac:dyDescent="0.3">
      <c r="A535" s="85" t="s">
        <v>97</v>
      </c>
      <c r="B535" s="85"/>
      <c r="C535" s="85"/>
      <c r="D535" s="85"/>
      <c r="E535" s="19">
        <f>SUM(E532:E534)</f>
        <v>500000</v>
      </c>
      <c r="F535" s="86"/>
      <c r="G535" s="87"/>
      <c r="H535" s="87"/>
      <c r="I535" s="88"/>
    </row>
    <row r="536" spans="1:9" s="8" customFormat="1" ht="33" customHeight="1" x14ac:dyDescent="0.3">
      <c r="A536" s="13" t="s">
        <v>156</v>
      </c>
      <c r="B536" s="51"/>
      <c r="C536" s="81" t="s">
        <v>157</v>
      </c>
      <c r="D536" s="81"/>
      <c r="E536" s="20">
        <f>96000</f>
        <v>96000</v>
      </c>
      <c r="F536" s="82"/>
      <c r="G536" s="83"/>
      <c r="H536" s="83"/>
      <c r="I536" s="84"/>
    </row>
    <row r="537" spans="1:9" s="2" customFormat="1" ht="33" customHeight="1" x14ac:dyDescent="0.3">
      <c r="A537" s="13">
        <v>452500000</v>
      </c>
      <c r="B537" s="51"/>
      <c r="C537" s="81" t="s">
        <v>53</v>
      </c>
      <c r="D537" s="81"/>
      <c r="E537" s="20">
        <v>75000</v>
      </c>
      <c r="F537" s="86"/>
      <c r="G537" s="87"/>
      <c r="H537" s="87"/>
      <c r="I537" s="88"/>
    </row>
    <row r="538" spans="1:9" s="2" customFormat="1" ht="33" customHeight="1" x14ac:dyDescent="0.3">
      <c r="A538" s="13">
        <v>456000000</v>
      </c>
      <c r="B538" s="51"/>
      <c r="C538" s="81" t="s">
        <v>198</v>
      </c>
      <c r="D538" s="81"/>
      <c r="E538" s="20">
        <f>90000</f>
        <v>90000</v>
      </c>
      <c r="F538" s="82"/>
      <c r="G538" s="83"/>
      <c r="H538" s="83"/>
      <c r="I538" s="84"/>
    </row>
    <row r="539" spans="1:9" s="4" customFormat="1" ht="33" customHeight="1" x14ac:dyDescent="0.3">
      <c r="A539" s="85" t="s">
        <v>80</v>
      </c>
      <c r="B539" s="85"/>
      <c r="C539" s="85"/>
      <c r="D539" s="85"/>
      <c r="E539" s="19">
        <f>SUM(E536:E538)</f>
        <v>261000</v>
      </c>
      <c r="F539" s="86"/>
      <c r="G539" s="87"/>
      <c r="H539" s="87"/>
      <c r="I539" s="88"/>
    </row>
    <row r="540" spans="1:9" s="8" customFormat="1" ht="45.75" customHeight="1" x14ac:dyDescent="0.3">
      <c r="A540" s="52" t="s">
        <v>261</v>
      </c>
      <c r="B540" s="53">
        <v>9750</v>
      </c>
      <c r="C540" s="106" t="s">
        <v>260</v>
      </c>
      <c r="D540" s="106"/>
      <c r="E540" s="19">
        <f>E541</f>
        <v>200000000</v>
      </c>
      <c r="F540" s="107" t="s">
        <v>202</v>
      </c>
      <c r="G540" s="107"/>
      <c r="H540" s="107"/>
      <c r="I540" s="107"/>
    </row>
    <row r="541" spans="1:9" s="8" customFormat="1" ht="33" customHeight="1" x14ac:dyDescent="0.3">
      <c r="A541" s="13">
        <v>457600000</v>
      </c>
      <c r="B541" s="51"/>
      <c r="C541" s="81" t="s">
        <v>17</v>
      </c>
      <c r="D541" s="81"/>
      <c r="E541" s="20">
        <f>F541</f>
        <v>200000000</v>
      </c>
      <c r="F541" s="82">
        <f>100000000+100000000</f>
        <v>200000000</v>
      </c>
      <c r="G541" s="83"/>
      <c r="H541" s="83"/>
      <c r="I541" s="84"/>
    </row>
    <row r="542" spans="1:9" s="8" customFormat="1" ht="85.5" customHeight="1" x14ac:dyDescent="0.3">
      <c r="A542" s="28" t="s">
        <v>205</v>
      </c>
      <c r="B542" s="46" t="s">
        <v>284</v>
      </c>
      <c r="C542" s="96" t="s">
        <v>285</v>
      </c>
      <c r="D542" s="97"/>
      <c r="E542" s="19">
        <f>E543</f>
        <v>3780000</v>
      </c>
      <c r="F542" s="107" t="s">
        <v>202</v>
      </c>
      <c r="G542" s="107"/>
      <c r="H542" s="107"/>
      <c r="I542" s="107"/>
    </row>
    <row r="543" spans="1:9" s="8" customFormat="1" ht="33" customHeight="1" x14ac:dyDescent="0.3">
      <c r="A543" s="13">
        <v>457600000</v>
      </c>
      <c r="B543" s="51"/>
      <c r="C543" s="81" t="s">
        <v>17</v>
      </c>
      <c r="D543" s="81"/>
      <c r="E543" s="20">
        <f>F543</f>
        <v>3780000</v>
      </c>
      <c r="F543" s="82">
        <f>3780000</f>
        <v>3780000</v>
      </c>
      <c r="G543" s="83"/>
      <c r="H543" s="83"/>
      <c r="I543" s="84"/>
    </row>
    <row r="544" spans="1:9" s="8" customFormat="1" ht="51.75" customHeight="1" x14ac:dyDescent="0.3">
      <c r="A544" s="52" t="s">
        <v>241</v>
      </c>
      <c r="B544" s="53">
        <v>9770</v>
      </c>
      <c r="C544" s="106" t="s">
        <v>242</v>
      </c>
      <c r="D544" s="106"/>
      <c r="E544" s="19">
        <f>E548</f>
        <v>135699999.12</v>
      </c>
      <c r="F544" s="107" t="s">
        <v>202</v>
      </c>
      <c r="G544" s="107"/>
      <c r="H544" s="107"/>
      <c r="I544" s="107"/>
    </row>
    <row r="545" spans="1:9" s="8" customFormat="1" ht="33" customHeight="1" x14ac:dyDescent="0.3">
      <c r="A545" s="13">
        <v>457810000</v>
      </c>
      <c r="B545" s="51"/>
      <c r="C545" s="81" t="s">
        <v>19</v>
      </c>
      <c r="D545" s="81"/>
      <c r="E545" s="20">
        <f>F545</f>
        <v>76999999.120000005</v>
      </c>
      <c r="F545" s="82">
        <f>78000000-1000000.88</f>
        <v>76999999.120000005</v>
      </c>
      <c r="G545" s="83"/>
      <c r="H545" s="83"/>
      <c r="I545" s="84"/>
    </row>
    <row r="546" spans="1:9" s="8" customFormat="1" ht="33" customHeight="1" x14ac:dyDescent="0.3">
      <c r="A546" s="13">
        <v>458100000</v>
      </c>
      <c r="B546" s="51"/>
      <c r="C546" s="81" t="s">
        <v>21</v>
      </c>
      <c r="D546" s="81"/>
      <c r="E546" s="20">
        <f>F546</f>
        <v>43700000</v>
      </c>
      <c r="F546" s="82">
        <f>43700000</f>
        <v>43700000</v>
      </c>
      <c r="G546" s="83"/>
      <c r="H546" s="83"/>
      <c r="I546" s="84"/>
    </row>
    <row r="547" spans="1:9" s="8" customFormat="1" ht="33" customHeight="1" x14ac:dyDescent="0.3">
      <c r="A547" s="13">
        <v>458200000</v>
      </c>
      <c r="B547" s="51"/>
      <c r="C547" s="81" t="s">
        <v>22</v>
      </c>
      <c r="D547" s="81"/>
      <c r="E547" s="20">
        <f>F547</f>
        <v>15000000</v>
      </c>
      <c r="F547" s="82">
        <v>15000000</v>
      </c>
      <c r="G547" s="83"/>
      <c r="H547" s="83"/>
      <c r="I547" s="84"/>
    </row>
    <row r="548" spans="1:9" s="8" customFormat="1" ht="33" customHeight="1" x14ac:dyDescent="0.3">
      <c r="A548" s="85" t="s">
        <v>97</v>
      </c>
      <c r="B548" s="85"/>
      <c r="C548" s="85"/>
      <c r="D548" s="85"/>
      <c r="E548" s="19">
        <f>F548</f>
        <v>135699999.12</v>
      </c>
      <c r="F548" s="86">
        <f>F545+F546+F547</f>
        <v>135699999.12</v>
      </c>
      <c r="G548" s="87"/>
      <c r="H548" s="87">
        <f>SUM(H525:I546)</f>
        <v>33357078</v>
      </c>
      <c r="I548" s="88"/>
    </row>
    <row r="549" spans="1:9" s="8" customFormat="1" ht="104.25" customHeight="1" x14ac:dyDescent="0.3">
      <c r="A549" s="52" t="s">
        <v>201</v>
      </c>
      <c r="B549" s="53">
        <v>9770</v>
      </c>
      <c r="C549" s="106" t="s">
        <v>230</v>
      </c>
      <c r="D549" s="106"/>
      <c r="E549" s="19">
        <f>E550</f>
        <v>300000000</v>
      </c>
      <c r="F549" s="107" t="s">
        <v>202</v>
      </c>
      <c r="G549" s="107"/>
      <c r="H549" s="107"/>
      <c r="I549" s="107"/>
    </row>
    <row r="550" spans="1:9" s="8" customFormat="1" ht="33" customHeight="1" x14ac:dyDescent="0.3">
      <c r="A550" s="13">
        <v>457810000</v>
      </c>
      <c r="B550" s="51"/>
      <c r="C550" s="81" t="s">
        <v>19</v>
      </c>
      <c r="D550" s="81"/>
      <c r="E550" s="20">
        <f>F550</f>
        <v>300000000</v>
      </c>
      <c r="F550" s="82">
        <f>160000000+140000000</f>
        <v>300000000</v>
      </c>
      <c r="G550" s="83"/>
      <c r="H550" s="83"/>
      <c r="I550" s="84"/>
    </row>
    <row r="551" spans="1:9" s="8" customFormat="1" ht="45.75" customHeight="1" x14ac:dyDescent="0.3">
      <c r="A551" s="52" t="s">
        <v>201</v>
      </c>
      <c r="B551" s="53">
        <v>9770</v>
      </c>
      <c r="C551" s="106" t="s">
        <v>251</v>
      </c>
      <c r="D551" s="106"/>
      <c r="E551" s="19">
        <f>E552</f>
        <v>8000000</v>
      </c>
      <c r="F551" s="107" t="s">
        <v>202</v>
      </c>
      <c r="G551" s="107"/>
      <c r="H551" s="107"/>
      <c r="I551" s="107"/>
    </row>
    <row r="552" spans="1:9" s="8" customFormat="1" ht="33" customHeight="1" x14ac:dyDescent="0.3">
      <c r="A552" s="13">
        <v>458100000</v>
      </c>
      <c r="B552" s="51"/>
      <c r="C552" s="81" t="s">
        <v>21</v>
      </c>
      <c r="D552" s="81"/>
      <c r="E552" s="20">
        <f>F552</f>
        <v>8000000</v>
      </c>
      <c r="F552" s="82">
        <f>8000000</f>
        <v>8000000</v>
      </c>
      <c r="G552" s="83"/>
      <c r="H552" s="83"/>
      <c r="I552" s="84"/>
    </row>
    <row r="553" spans="1:9" s="8" customFormat="1" ht="80.25" customHeight="1" x14ac:dyDescent="0.3">
      <c r="A553" s="28">
        <v>1519770</v>
      </c>
      <c r="B553" s="46">
        <v>9770</v>
      </c>
      <c r="C553" s="96" t="s">
        <v>308</v>
      </c>
      <c r="D553" s="97"/>
      <c r="E553" s="19">
        <f>E555</f>
        <v>13000000</v>
      </c>
      <c r="F553" s="86" t="s">
        <v>202</v>
      </c>
      <c r="G553" s="87"/>
      <c r="H553" s="87"/>
      <c r="I553" s="88"/>
    </row>
    <row r="554" spans="1:9" s="8" customFormat="1" ht="33" customHeight="1" x14ac:dyDescent="0.3">
      <c r="A554" s="13">
        <v>2151800000</v>
      </c>
      <c r="B554" s="44"/>
      <c r="C554" s="101" t="s">
        <v>269</v>
      </c>
      <c r="D554" s="102"/>
      <c r="E554" s="20">
        <f>F554</f>
        <v>13000000</v>
      </c>
      <c r="F554" s="82">
        <f>13000000</f>
        <v>13000000</v>
      </c>
      <c r="G554" s="83"/>
      <c r="H554" s="83"/>
      <c r="I554" s="84"/>
    </row>
    <row r="555" spans="1:9" s="8" customFormat="1" ht="33" customHeight="1" x14ac:dyDescent="0.3">
      <c r="A555" s="85" t="s">
        <v>80</v>
      </c>
      <c r="B555" s="85"/>
      <c r="C555" s="85"/>
      <c r="D555" s="85"/>
      <c r="E555" s="19">
        <f t="shared" ref="E555" si="17">F555</f>
        <v>13000000</v>
      </c>
      <c r="F555" s="86">
        <f>F554</f>
        <v>13000000</v>
      </c>
      <c r="G555" s="87"/>
      <c r="H555" s="87"/>
      <c r="I555" s="88"/>
    </row>
    <row r="556" spans="1:9" s="8" customFormat="1" ht="45.75" customHeight="1" x14ac:dyDescent="0.3">
      <c r="A556" s="28">
        <v>1519770</v>
      </c>
      <c r="B556" s="53">
        <v>9770</v>
      </c>
      <c r="C556" s="106" t="s">
        <v>251</v>
      </c>
      <c r="D556" s="106"/>
      <c r="E556" s="19">
        <f>E559</f>
        <v>58000000</v>
      </c>
      <c r="F556" s="107" t="s">
        <v>202</v>
      </c>
      <c r="G556" s="107"/>
      <c r="H556" s="107"/>
      <c r="I556" s="107"/>
    </row>
    <row r="557" spans="1:9" s="8" customFormat="1" ht="33" customHeight="1" x14ac:dyDescent="0.3">
      <c r="A557" s="13">
        <v>458900000</v>
      </c>
      <c r="B557" s="51"/>
      <c r="C557" s="81" t="s">
        <v>29</v>
      </c>
      <c r="D557" s="81"/>
      <c r="E557" s="20">
        <f>F557</f>
        <v>20000000</v>
      </c>
      <c r="F557" s="82">
        <f>20000000</f>
        <v>20000000</v>
      </c>
      <c r="G557" s="83"/>
      <c r="H557" s="83"/>
      <c r="I557" s="84"/>
    </row>
    <row r="558" spans="1:9" ht="33" customHeight="1" x14ac:dyDescent="0.3">
      <c r="A558" s="13">
        <v>457100000</v>
      </c>
      <c r="B558" s="51"/>
      <c r="C558" s="81" t="s">
        <v>125</v>
      </c>
      <c r="D558" s="81"/>
      <c r="E558" s="23">
        <f t="shared" ref="E558" si="18">F558+H558</f>
        <v>38000000</v>
      </c>
      <c r="F558" s="82">
        <f>38000000</f>
        <v>38000000</v>
      </c>
      <c r="G558" s="83"/>
      <c r="H558" s="83"/>
      <c r="I558" s="84"/>
    </row>
    <row r="559" spans="1:9" s="8" customFormat="1" ht="33" customHeight="1" x14ac:dyDescent="0.3">
      <c r="A559" s="85" t="s">
        <v>97</v>
      </c>
      <c r="B559" s="85"/>
      <c r="C559" s="85"/>
      <c r="D559" s="85"/>
      <c r="E559" s="19">
        <f>F559</f>
        <v>58000000</v>
      </c>
      <c r="F559" s="86">
        <f>SUM(F557:I558)</f>
        <v>58000000</v>
      </c>
      <c r="G559" s="87"/>
      <c r="H559" s="87">
        <f>SUM(H541:I557)</f>
        <v>33357078</v>
      </c>
      <c r="I559" s="88"/>
    </row>
    <row r="560" spans="1:9" s="8" customFormat="1" ht="71.25" customHeight="1" x14ac:dyDescent="0.3">
      <c r="A560" s="52">
        <v>2019770</v>
      </c>
      <c r="B560" s="53">
        <v>9770</v>
      </c>
      <c r="C560" s="106" t="s">
        <v>302</v>
      </c>
      <c r="D560" s="106"/>
      <c r="E560" s="19">
        <f>E581</f>
        <v>1000000</v>
      </c>
      <c r="F560" s="107" t="s">
        <v>303</v>
      </c>
      <c r="G560" s="107"/>
      <c r="H560" s="107"/>
      <c r="I560" s="107"/>
    </row>
    <row r="561" spans="1:9" s="8" customFormat="1" ht="33" customHeight="1" x14ac:dyDescent="0.3">
      <c r="A561" s="13">
        <v>450200000</v>
      </c>
      <c r="B561" s="51"/>
      <c r="C561" s="81" t="s">
        <v>34</v>
      </c>
      <c r="D561" s="81"/>
      <c r="E561" s="20">
        <f>F561</f>
        <v>50000</v>
      </c>
      <c r="F561" s="82">
        <f>50000</f>
        <v>50000</v>
      </c>
      <c r="G561" s="83"/>
      <c r="H561" s="83"/>
      <c r="I561" s="84"/>
    </row>
    <row r="562" spans="1:9" s="8" customFormat="1" ht="33" customHeight="1" x14ac:dyDescent="0.3">
      <c r="A562" s="13">
        <v>457200000</v>
      </c>
      <c r="B562" s="51"/>
      <c r="C562" s="101" t="s">
        <v>14</v>
      </c>
      <c r="D562" s="102"/>
      <c r="E562" s="20">
        <f t="shared" ref="E562:E581" si="19">F562</f>
        <v>50000</v>
      </c>
      <c r="F562" s="82">
        <f>50000</f>
        <v>50000</v>
      </c>
      <c r="G562" s="83"/>
      <c r="H562" s="83"/>
      <c r="I562" s="84"/>
    </row>
    <row r="563" spans="1:9" ht="33" customHeight="1" x14ac:dyDescent="0.3">
      <c r="A563" s="13">
        <v>450500000</v>
      </c>
      <c r="B563" s="51"/>
      <c r="C563" s="81" t="s">
        <v>38</v>
      </c>
      <c r="D563" s="81"/>
      <c r="E563" s="20">
        <f t="shared" si="19"/>
        <v>50000</v>
      </c>
      <c r="F563" s="82">
        <f>50000</f>
        <v>50000</v>
      </c>
      <c r="G563" s="83"/>
      <c r="H563" s="83"/>
      <c r="I563" s="84"/>
    </row>
    <row r="564" spans="1:9" ht="33" customHeight="1" x14ac:dyDescent="0.3">
      <c r="A564" s="13">
        <v>452900000</v>
      </c>
      <c r="B564" s="51"/>
      <c r="C564" s="81" t="s">
        <v>56</v>
      </c>
      <c r="D564" s="81"/>
      <c r="E564" s="20">
        <f t="shared" si="19"/>
        <v>50000</v>
      </c>
      <c r="F564" s="82">
        <f>50000</f>
        <v>50000</v>
      </c>
      <c r="G564" s="83"/>
      <c r="H564" s="83"/>
      <c r="I564" s="84"/>
    </row>
    <row r="565" spans="1:9" s="8" customFormat="1" ht="33" customHeight="1" x14ac:dyDescent="0.3">
      <c r="A565" s="13">
        <v>457300000</v>
      </c>
      <c r="B565" s="51"/>
      <c r="C565" s="81" t="s">
        <v>112</v>
      </c>
      <c r="D565" s="81"/>
      <c r="E565" s="20">
        <f t="shared" si="19"/>
        <v>50000</v>
      </c>
      <c r="F565" s="82">
        <f>50000</f>
        <v>50000</v>
      </c>
      <c r="G565" s="83"/>
      <c r="H565" s="83"/>
      <c r="I565" s="84"/>
    </row>
    <row r="566" spans="1:9" s="8" customFormat="1" ht="33" customHeight="1" x14ac:dyDescent="0.3">
      <c r="A566" s="13">
        <v>453600000</v>
      </c>
      <c r="B566" s="51"/>
      <c r="C566" s="81" t="s">
        <v>60</v>
      </c>
      <c r="D566" s="81"/>
      <c r="E566" s="20">
        <f t="shared" si="19"/>
        <v>50000</v>
      </c>
      <c r="F566" s="82">
        <f>50000</f>
        <v>50000</v>
      </c>
      <c r="G566" s="83"/>
      <c r="H566" s="83"/>
      <c r="I566" s="84"/>
    </row>
    <row r="567" spans="1:9" ht="33" customHeight="1" x14ac:dyDescent="0.3">
      <c r="A567" s="13">
        <v>452000000</v>
      </c>
      <c r="B567" s="51"/>
      <c r="C567" s="81" t="s">
        <v>48</v>
      </c>
      <c r="D567" s="81"/>
      <c r="E567" s="20">
        <f t="shared" si="19"/>
        <v>50000</v>
      </c>
      <c r="F567" s="82">
        <f>50000</f>
        <v>50000</v>
      </c>
      <c r="G567" s="83"/>
      <c r="H567" s="83"/>
      <c r="I567" s="84"/>
    </row>
    <row r="568" spans="1:9" ht="33" customHeight="1" x14ac:dyDescent="0.3">
      <c r="A568" s="13">
        <v>453500000</v>
      </c>
      <c r="B568" s="51"/>
      <c r="C568" s="81" t="s">
        <v>6</v>
      </c>
      <c r="D568" s="81"/>
      <c r="E568" s="20">
        <f t="shared" si="19"/>
        <v>50000</v>
      </c>
      <c r="F568" s="82">
        <f>50000</f>
        <v>50000</v>
      </c>
      <c r="G568" s="83"/>
      <c r="H568" s="83"/>
      <c r="I568" s="84"/>
    </row>
    <row r="569" spans="1:9" ht="33" customHeight="1" x14ac:dyDescent="0.3">
      <c r="A569" s="13">
        <v>452200000</v>
      </c>
      <c r="B569" s="51"/>
      <c r="C569" s="101" t="s">
        <v>50</v>
      </c>
      <c r="D569" s="102"/>
      <c r="E569" s="20">
        <f t="shared" si="19"/>
        <v>50000</v>
      </c>
      <c r="F569" s="82">
        <f>50000</f>
        <v>50000</v>
      </c>
      <c r="G569" s="83"/>
      <c r="H569" s="83"/>
      <c r="I569" s="84"/>
    </row>
    <row r="570" spans="1:9" ht="33" customHeight="1" x14ac:dyDescent="0.3">
      <c r="A570" s="13">
        <v>457900000</v>
      </c>
      <c r="B570" s="51"/>
      <c r="C570" s="81" t="s">
        <v>20</v>
      </c>
      <c r="D570" s="81"/>
      <c r="E570" s="20">
        <f t="shared" si="19"/>
        <v>50000</v>
      </c>
      <c r="F570" s="82">
        <f>50000</f>
        <v>50000</v>
      </c>
      <c r="G570" s="83"/>
      <c r="H570" s="83"/>
      <c r="I570" s="84"/>
    </row>
    <row r="571" spans="1:9" ht="33" customHeight="1" x14ac:dyDescent="0.3">
      <c r="A571" s="13">
        <v>456500000</v>
      </c>
      <c r="B571" s="51"/>
      <c r="C571" s="81" t="s">
        <v>9</v>
      </c>
      <c r="D571" s="81"/>
      <c r="E571" s="20">
        <f t="shared" si="19"/>
        <v>50000</v>
      </c>
      <c r="F571" s="82">
        <f>50000</f>
        <v>50000</v>
      </c>
      <c r="G571" s="83"/>
      <c r="H571" s="83"/>
      <c r="I571" s="84"/>
    </row>
    <row r="572" spans="1:9" ht="33" customHeight="1" x14ac:dyDescent="0.3">
      <c r="A572" s="13">
        <v>453100000</v>
      </c>
      <c r="B572" s="51"/>
      <c r="C572" s="81" t="s">
        <v>58</v>
      </c>
      <c r="D572" s="81"/>
      <c r="E572" s="20">
        <f t="shared" si="19"/>
        <v>50000</v>
      </c>
      <c r="F572" s="82">
        <f>50000</f>
        <v>50000</v>
      </c>
      <c r="G572" s="83"/>
      <c r="H572" s="83"/>
      <c r="I572" s="84"/>
    </row>
    <row r="573" spans="1:9" ht="33" customHeight="1" x14ac:dyDescent="0.3">
      <c r="A573" s="13">
        <v>454100000</v>
      </c>
      <c r="B573" s="51"/>
      <c r="C573" s="81" t="s">
        <v>78</v>
      </c>
      <c r="D573" s="81"/>
      <c r="E573" s="20">
        <f t="shared" si="19"/>
        <v>50000</v>
      </c>
      <c r="F573" s="82">
        <f>50000</f>
        <v>50000</v>
      </c>
      <c r="G573" s="83"/>
      <c r="H573" s="83"/>
      <c r="I573" s="84"/>
    </row>
    <row r="574" spans="1:9" ht="33" customHeight="1" x14ac:dyDescent="0.3">
      <c r="A574" s="13">
        <v>458300000</v>
      </c>
      <c r="B574" s="51"/>
      <c r="C574" s="81" t="s">
        <v>23</v>
      </c>
      <c r="D574" s="81"/>
      <c r="E574" s="20">
        <f t="shared" si="19"/>
        <v>50000</v>
      </c>
      <c r="F574" s="82">
        <f>50000</f>
        <v>50000</v>
      </c>
      <c r="G574" s="83"/>
      <c r="H574" s="83"/>
      <c r="I574" s="84"/>
    </row>
    <row r="575" spans="1:9" ht="33" customHeight="1" x14ac:dyDescent="0.3">
      <c r="A575" s="13">
        <v>453900000</v>
      </c>
      <c r="B575" s="51"/>
      <c r="C575" s="81" t="s">
        <v>77</v>
      </c>
      <c r="D575" s="81"/>
      <c r="E575" s="20">
        <f t="shared" si="19"/>
        <v>50000</v>
      </c>
      <c r="F575" s="82">
        <f>50000</f>
        <v>50000</v>
      </c>
      <c r="G575" s="83"/>
      <c r="H575" s="83"/>
      <c r="I575" s="84"/>
    </row>
    <row r="576" spans="1:9" ht="33" customHeight="1" x14ac:dyDescent="0.3">
      <c r="A576" s="13">
        <v>454600000</v>
      </c>
      <c r="B576" s="51"/>
      <c r="C576" s="81" t="s">
        <v>65</v>
      </c>
      <c r="D576" s="81"/>
      <c r="E576" s="20">
        <f t="shared" si="19"/>
        <v>50000</v>
      </c>
      <c r="F576" s="82">
        <f>50000</f>
        <v>50000</v>
      </c>
      <c r="G576" s="83"/>
      <c r="H576" s="83"/>
      <c r="I576" s="84"/>
    </row>
    <row r="577" spans="1:10" ht="33" customHeight="1" x14ac:dyDescent="0.3">
      <c r="A577" s="13">
        <v>450400000</v>
      </c>
      <c r="B577" s="51"/>
      <c r="C577" s="81" t="s">
        <v>37</v>
      </c>
      <c r="D577" s="81"/>
      <c r="E577" s="20">
        <f t="shared" si="19"/>
        <v>50000</v>
      </c>
      <c r="F577" s="82">
        <f>50000</f>
        <v>50000</v>
      </c>
      <c r="G577" s="83"/>
      <c r="H577" s="83"/>
      <c r="I577" s="84"/>
    </row>
    <row r="578" spans="1:10" s="2" customFormat="1" ht="33" customHeight="1" x14ac:dyDescent="0.3">
      <c r="A578" s="13">
        <v>452500000</v>
      </c>
      <c r="B578" s="51"/>
      <c r="C578" s="81" t="s">
        <v>53</v>
      </c>
      <c r="D578" s="81"/>
      <c r="E578" s="20">
        <f t="shared" si="19"/>
        <v>50000</v>
      </c>
      <c r="F578" s="82">
        <f>50000</f>
        <v>50000</v>
      </c>
      <c r="G578" s="83"/>
      <c r="H578" s="83"/>
      <c r="I578" s="84"/>
    </row>
    <row r="579" spans="1:10" s="2" customFormat="1" ht="33" customHeight="1" x14ac:dyDescent="0.3">
      <c r="A579" s="13">
        <v>456700000</v>
      </c>
      <c r="B579" s="51"/>
      <c r="C579" s="81" t="s">
        <v>11</v>
      </c>
      <c r="D579" s="81"/>
      <c r="E579" s="20">
        <f t="shared" si="19"/>
        <v>50000</v>
      </c>
      <c r="F579" s="82">
        <f>50000</f>
        <v>50000</v>
      </c>
      <c r="G579" s="83"/>
      <c r="H579" s="83"/>
      <c r="I579" s="84"/>
    </row>
    <row r="580" spans="1:10" s="2" customFormat="1" ht="33" customHeight="1" x14ac:dyDescent="0.3">
      <c r="A580" s="13">
        <v>455200000</v>
      </c>
      <c r="B580" s="51"/>
      <c r="C580" s="81" t="s">
        <v>69</v>
      </c>
      <c r="D580" s="81"/>
      <c r="E580" s="20">
        <f t="shared" si="19"/>
        <v>50000</v>
      </c>
      <c r="F580" s="82">
        <f>50000</f>
        <v>50000</v>
      </c>
      <c r="G580" s="83"/>
      <c r="H580" s="83"/>
      <c r="I580" s="84"/>
    </row>
    <row r="581" spans="1:10" s="8" customFormat="1" ht="33" customHeight="1" x14ac:dyDescent="0.3">
      <c r="A581" s="85" t="s">
        <v>80</v>
      </c>
      <c r="B581" s="85"/>
      <c r="C581" s="85"/>
      <c r="D581" s="85"/>
      <c r="E581" s="19">
        <f t="shared" si="19"/>
        <v>1000000</v>
      </c>
      <c r="F581" s="86">
        <f>SUM(F561:I580)</f>
        <v>1000000</v>
      </c>
      <c r="G581" s="87"/>
      <c r="H581" s="87"/>
      <c r="I581" s="88"/>
    </row>
    <row r="582" spans="1:10" s="8" customFormat="1" ht="78" customHeight="1" x14ac:dyDescent="0.3">
      <c r="A582" s="52" t="s">
        <v>108</v>
      </c>
      <c r="B582" s="53">
        <v>9800</v>
      </c>
      <c r="C582" s="106" t="s">
        <v>106</v>
      </c>
      <c r="D582" s="106"/>
      <c r="E582" s="19">
        <f>E583</f>
        <v>425654780</v>
      </c>
      <c r="F582" s="107" t="s">
        <v>126</v>
      </c>
      <c r="G582" s="107"/>
      <c r="H582" s="107"/>
      <c r="I582" s="107"/>
    </row>
    <row r="583" spans="1:10" s="8" customFormat="1" ht="33" customHeight="1" x14ac:dyDescent="0.3">
      <c r="A583" s="48">
        <v>9900000000</v>
      </c>
      <c r="B583" s="48"/>
      <c r="C583" s="101" t="s">
        <v>1</v>
      </c>
      <c r="D583" s="102"/>
      <c r="E583" s="20">
        <f>F583</f>
        <v>425654780</v>
      </c>
      <c r="F583" s="105">
        <f>100000000+32426720+120000000+8824040+11127720+297780+10331820+7710000+497220+860000+1707000+610380+70000000+250000+1416000+90000-5460000+416100+64000000+550000</f>
        <v>425654780</v>
      </c>
      <c r="G583" s="105"/>
      <c r="H583" s="105"/>
      <c r="I583" s="105"/>
    </row>
    <row r="584" spans="1:10" ht="57.75" customHeight="1" x14ac:dyDescent="0.3">
      <c r="A584" s="52" t="s">
        <v>108</v>
      </c>
      <c r="B584" s="53">
        <v>9800</v>
      </c>
      <c r="C584" s="106" t="s">
        <v>106</v>
      </c>
      <c r="D584" s="106"/>
      <c r="E584" s="19">
        <f>E585</f>
        <v>88500000</v>
      </c>
      <c r="F584" s="107" t="s">
        <v>228</v>
      </c>
      <c r="G584" s="107"/>
      <c r="H584" s="107"/>
      <c r="I584" s="107"/>
    </row>
    <row r="585" spans="1:10" s="8" customFormat="1" ht="33" customHeight="1" x14ac:dyDescent="0.3">
      <c r="A585" s="48">
        <v>9900000000</v>
      </c>
      <c r="B585" s="48"/>
      <c r="C585" s="101" t="s">
        <v>1</v>
      </c>
      <c r="D585" s="102"/>
      <c r="E585" s="20">
        <f>F585</f>
        <v>88500000</v>
      </c>
      <c r="F585" s="105">
        <f>70000000-1500000+20000000</f>
        <v>88500000</v>
      </c>
      <c r="G585" s="105"/>
      <c r="H585" s="105"/>
      <c r="I585" s="105"/>
    </row>
    <row r="586" spans="1:10" s="8" customFormat="1" ht="77.25" customHeight="1" x14ac:dyDescent="0.3">
      <c r="A586" s="52" t="s">
        <v>107</v>
      </c>
      <c r="B586" s="53">
        <v>9800</v>
      </c>
      <c r="C586" s="106" t="s">
        <v>106</v>
      </c>
      <c r="D586" s="106"/>
      <c r="E586" s="19">
        <f>E587</f>
        <v>40000000</v>
      </c>
      <c r="F586" s="107" t="s">
        <v>229</v>
      </c>
      <c r="G586" s="107"/>
      <c r="H586" s="107"/>
      <c r="I586" s="107"/>
    </row>
    <row r="587" spans="1:10" s="8" customFormat="1" ht="33" customHeight="1" x14ac:dyDescent="0.3">
      <c r="A587" s="48">
        <v>9900000000</v>
      </c>
      <c r="B587" s="48"/>
      <c r="C587" s="101" t="s">
        <v>1</v>
      </c>
      <c r="D587" s="102"/>
      <c r="E587" s="20">
        <f>F587</f>
        <v>40000000</v>
      </c>
      <c r="F587" s="105">
        <f>15000000+25000000</f>
        <v>40000000</v>
      </c>
      <c r="G587" s="105"/>
      <c r="H587" s="105"/>
      <c r="I587" s="105"/>
    </row>
    <row r="588" spans="1:10" s="8" customFormat="1" ht="77.25" customHeight="1" x14ac:dyDescent="0.3">
      <c r="A588" s="52" t="s">
        <v>107</v>
      </c>
      <c r="B588" s="53">
        <v>9800</v>
      </c>
      <c r="C588" s="106" t="s">
        <v>106</v>
      </c>
      <c r="D588" s="106"/>
      <c r="E588" s="19">
        <f>E589</f>
        <v>3000000</v>
      </c>
      <c r="F588" s="107" t="s">
        <v>228</v>
      </c>
      <c r="G588" s="107"/>
      <c r="H588" s="107"/>
      <c r="I588" s="107"/>
    </row>
    <row r="589" spans="1:10" s="8" customFormat="1" ht="33" customHeight="1" x14ac:dyDescent="0.3">
      <c r="A589" s="48">
        <v>9900000000</v>
      </c>
      <c r="B589" s="48"/>
      <c r="C589" s="101" t="s">
        <v>1</v>
      </c>
      <c r="D589" s="102"/>
      <c r="E589" s="20">
        <f>F589</f>
        <v>3000000</v>
      </c>
      <c r="F589" s="105">
        <f>3000000</f>
        <v>3000000</v>
      </c>
      <c r="G589" s="105"/>
      <c r="H589" s="105"/>
      <c r="I589" s="105"/>
    </row>
    <row r="590" spans="1:10" s="8" customFormat="1" ht="72.75" customHeight="1" x14ac:dyDescent="0.3">
      <c r="A590" s="52" t="s">
        <v>109</v>
      </c>
      <c r="B590" s="53">
        <v>9800</v>
      </c>
      <c r="C590" s="106" t="s">
        <v>106</v>
      </c>
      <c r="D590" s="106"/>
      <c r="E590" s="19">
        <f>E591</f>
        <v>3000000</v>
      </c>
      <c r="F590" s="107" t="s">
        <v>273</v>
      </c>
      <c r="G590" s="107"/>
      <c r="H590" s="107"/>
      <c r="I590" s="107"/>
    </row>
    <row r="591" spans="1:10" s="8" customFormat="1" ht="33" customHeight="1" x14ac:dyDescent="0.3">
      <c r="A591" s="48">
        <v>9900000000</v>
      </c>
      <c r="B591" s="48"/>
      <c r="C591" s="101" t="s">
        <v>1</v>
      </c>
      <c r="D591" s="102"/>
      <c r="E591" s="20">
        <f>F591</f>
        <v>3000000</v>
      </c>
      <c r="F591" s="82">
        <f>3000000</f>
        <v>3000000</v>
      </c>
      <c r="G591" s="83"/>
      <c r="H591" s="83"/>
      <c r="I591" s="84"/>
    </row>
    <row r="592" spans="1:10" s="9" customFormat="1" ht="26.25" customHeight="1" x14ac:dyDescent="0.3">
      <c r="A592" s="53"/>
      <c r="B592" s="53"/>
      <c r="C592" s="136" t="s">
        <v>122</v>
      </c>
      <c r="D592" s="136"/>
      <c r="E592" s="34">
        <f>E593+E594</f>
        <v>3193214606.5799999</v>
      </c>
      <c r="F592" s="135"/>
      <c r="G592" s="135"/>
      <c r="H592" s="135"/>
      <c r="I592" s="135"/>
      <c r="J592" s="10"/>
    </row>
    <row r="593" spans="1:10" s="9" customFormat="1" ht="26.25" customHeight="1" x14ac:dyDescent="0.3">
      <c r="A593" s="53"/>
      <c r="B593" s="53"/>
      <c r="C593" s="136" t="s">
        <v>82</v>
      </c>
      <c r="D593" s="136"/>
      <c r="E593" s="34">
        <f>E46+E98+E109+E272+E380+E462+E464+E468+E470+E368+E359+E12+E257+E146+E370+E466+E57+E74+E92+E460+E193</f>
        <v>1799878661.46</v>
      </c>
      <c r="F593" s="135"/>
      <c r="G593" s="135"/>
      <c r="H593" s="135"/>
      <c r="I593" s="135"/>
      <c r="J593" s="10"/>
    </row>
    <row r="594" spans="1:10" s="9" customFormat="1" ht="26.25" customHeight="1" x14ac:dyDescent="0.3">
      <c r="A594" s="53"/>
      <c r="B594" s="53"/>
      <c r="C594" s="136" t="s">
        <v>83</v>
      </c>
      <c r="D594" s="136"/>
      <c r="E594" s="34">
        <f>E582+E584+E586+E588+E590+E549+E544+E473+E551+E540+E553+E556+E542+E531+E560</f>
        <v>1393335945.1199999</v>
      </c>
      <c r="F594" s="135"/>
      <c r="G594" s="135"/>
      <c r="H594" s="135"/>
      <c r="I594" s="135"/>
      <c r="J594" s="10"/>
    </row>
    <row r="595" spans="1:10" ht="67.5" customHeight="1" x14ac:dyDescent="0.3"/>
    <row r="596" spans="1:10" s="11" customFormat="1" ht="32.25" customHeight="1" x14ac:dyDescent="0.4">
      <c r="A596" s="90" t="s">
        <v>309</v>
      </c>
      <c r="B596" s="90"/>
      <c r="C596" s="90"/>
      <c r="D596" s="91"/>
      <c r="E596" s="91"/>
      <c r="F596" s="92" t="s">
        <v>310</v>
      </c>
      <c r="G596" s="92"/>
      <c r="H596" s="92"/>
      <c r="I596" s="92"/>
    </row>
    <row r="598" spans="1:10" x14ac:dyDescent="0.3">
      <c r="B598" s="1"/>
      <c r="E598" s="12"/>
      <c r="F598" s="12"/>
      <c r="G598" s="12"/>
      <c r="H598" s="12"/>
      <c r="I598" s="12"/>
    </row>
  </sheetData>
  <sheetProtection selectLockedCells="1" selectUnlockedCells="1"/>
  <customSheetViews>
    <customSheetView guid="{4644111A-82C5-489B-9E53-EB80700E535E}" scale="60" showPageBreaks="1" zeroValues="0" printArea="1" view="pageBreakPreview" topLeftCell="A169">
      <selection activeCell="C174" sqref="C174:D174"/>
      <rowBreaks count="6" manualBreakCount="6">
        <brk id="77" max="8" man="1"/>
        <brk id="110" max="8" man="1"/>
        <brk id="136" max="8" man="1"/>
        <brk id="501" max="8" man="1"/>
        <brk id="516" max="8" man="1"/>
        <brk id="543" max="8" man="1"/>
      </rowBreaks>
      <pageMargins left="0.98425196850393704" right="0.59055118110236227" top="0.59055118110236227" bottom="0.59055118110236227" header="0.39370078740157483" footer="0.39370078740157483"/>
      <pageSetup paperSize="9" scale="40" firstPageNumber="7" fitToHeight="500" orientation="landscape" useFirstPageNumber="1" horizontalDpi="300" verticalDpi="300" r:id="rId1"/>
      <headerFooter differentFirst="1" alignWithMargins="0">
        <oddHeader>&amp;C&amp;P</oddHeader>
        <firstHeader>&amp;C&amp;P</firstHeader>
      </headerFooter>
    </customSheetView>
    <customSheetView guid="{879B1E14-7CA4-4463-9C42-4E2586107585}" scale="60" showPageBreaks="1" zeroValues="0" printArea="1" view="pageBreakPreview" topLeftCell="A175">
      <selection activeCell="E184" sqref="E184"/>
      <rowBreaks count="6" manualBreakCount="6">
        <brk id="77" max="8" man="1"/>
        <brk id="110" max="8" man="1"/>
        <brk id="136" max="8" man="1"/>
        <brk id="501" max="8" man="1"/>
        <brk id="516" max="8" man="1"/>
        <brk id="543" max="8" man="1"/>
      </rowBreaks>
      <pageMargins left="0.98425196850393704" right="0.59055118110236227" top="0.59055118110236227" bottom="0.59055118110236227" header="0.39370078740157483" footer="0.39370078740157483"/>
      <pageSetup paperSize="9" scale="40" firstPageNumber="7" fitToHeight="500" orientation="landscape" useFirstPageNumber="1" horizontalDpi="300" verticalDpi="300" r:id="rId2"/>
      <headerFooter differentFirst="1" alignWithMargins="0">
        <oddHeader>&amp;C&amp;P</oddHeader>
        <firstHeader>&amp;C&amp;P</firstHeader>
      </headerFooter>
    </customSheetView>
    <customSheetView guid="{C9A6F9B2-0582-46B8-BF5A-2A8D2AC01FE2}" scale="60" showPageBreaks="1" zeroValues="0" printArea="1" view="pageBreakPreview" topLeftCell="A106">
      <selection activeCell="E184" sqref="E184"/>
      <rowBreaks count="6" manualBreakCount="6">
        <brk id="77" max="8" man="1"/>
        <brk id="110" max="8" man="1"/>
        <brk id="136" max="8" man="1"/>
        <brk id="501" max="8" man="1"/>
        <brk id="516" max="8" man="1"/>
        <brk id="543" max="8" man="1"/>
      </rowBreaks>
      <pageMargins left="0.98425196850393704" right="0.59055118110236227" top="0.59055118110236227" bottom="0.59055118110236227" header="0.39370078740157483" footer="0.39370078740157483"/>
      <pageSetup paperSize="9" scale="40" firstPageNumber="7" fitToHeight="500" orientation="landscape" useFirstPageNumber="1" horizontalDpi="300" verticalDpi="300" r:id="rId3"/>
      <headerFooter differentFirst="1" alignWithMargins="0">
        <oddHeader>&amp;C&amp;P</oddHeader>
        <firstHeader>&amp;C&amp;P</firstHeader>
      </headerFooter>
    </customSheetView>
  </customSheetViews>
  <mergeCells count="1288">
    <mergeCell ref="C558:D558"/>
    <mergeCell ref="A559:D559"/>
    <mergeCell ref="F559:I559"/>
    <mergeCell ref="F558:I558"/>
    <mergeCell ref="F98:G98"/>
    <mergeCell ref="H98:I98"/>
    <mergeCell ref="F108:G108"/>
    <mergeCell ref="F107:G107"/>
    <mergeCell ref="F106:G106"/>
    <mergeCell ref="F105:G105"/>
    <mergeCell ref="F104:G104"/>
    <mergeCell ref="F103:G103"/>
    <mergeCell ref="F102:G102"/>
    <mergeCell ref="F101:G101"/>
    <mergeCell ref="F100:G100"/>
    <mergeCell ref="F99:G99"/>
    <mergeCell ref="H100:I100"/>
    <mergeCell ref="H101:I101"/>
    <mergeCell ref="H103:I103"/>
    <mergeCell ref="H104:I104"/>
    <mergeCell ref="H105:I105"/>
    <mergeCell ref="H106:I106"/>
    <mergeCell ref="H107:I107"/>
    <mergeCell ref="H108:I108"/>
    <mergeCell ref="H102:I102"/>
    <mergeCell ref="H99:I99"/>
    <mergeCell ref="H527:I527"/>
    <mergeCell ref="H528:I528"/>
    <mergeCell ref="H529:I529"/>
    <mergeCell ref="H530:I530"/>
    <mergeCell ref="C491:D491"/>
    <mergeCell ref="F491:G491"/>
    <mergeCell ref="C513:D513"/>
    <mergeCell ref="F513:G513"/>
    <mergeCell ref="H513:I513"/>
    <mergeCell ref="C521:D521"/>
    <mergeCell ref="F521:G521"/>
    <mergeCell ref="H521:I521"/>
    <mergeCell ref="H496:I496"/>
    <mergeCell ref="H497:I497"/>
    <mergeCell ref="H498:I498"/>
    <mergeCell ref="H499:I499"/>
    <mergeCell ref="H500:I500"/>
    <mergeCell ref="H501:I501"/>
    <mergeCell ref="H502:I502"/>
    <mergeCell ref="F525:G525"/>
    <mergeCell ref="F526:G526"/>
    <mergeCell ref="F508:G508"/>
    <mergeCell ref="F509:G509"/>
    <mergeCell ref="F510:G510"/>
    <mergeCell ref="F511:G511"/>
    <mergeCell ref="F512:G512"/>
    <mergeCell ref="F514:G514"/>
    <mergeCell ref="F515:G515"/>
    <mergeCell ref="F516:G516"/>
    <mergeCell ref="F517:G517"/>
    <mergeCell ref="F518:G518"/>
    <mergeCell ref="H516:I516"/>
    <mergeCell ref="H517:I517"/>
    <mergeCell ref="H518:I518"/>
    <mergeCell ref="H519:I519"/>
    <mergeCell ref="H520:I520"/>
    <mergeCell ref="H522:I522"/>
    <mergeCell ref="H523:I523"/>
    <mergeCell ref="H524:I524"/>
    <mergeCell ref="H525:I525"/>
    <mergeCell ref="H526:I526"/>
    <mergeCell ref="F506:G506"/>
    <mergeCell ref="F507:G507"/>
    <mergeCell ref="H503:I503"/>
    <mergeCell ref="H504:I504"/>
    <mergeCell ref="H505:I505"/>
    <mergeCell ref="H506:I506"/>
    <mergeCell ref="H507:I507"/>
    <mergeCell ref="H508:I508"/>
    <mergeCell ref="H509:I509"/>
    <mergeCell ref="H510:I510"/>
    <mergeCell ref="H511:I511"/>
    <mergeCell ref="H512:I512"/>
    <mergeCell ref="F519:G519"/>
    <mergeCell ref="F520:G520"/>
    <mergeCell ref="F522:G522"/>
    <mergeCell ref="F523:G523"/>
    <mergeCell ref="F524:G524"/>
    <mergeCell ref="F499:G499"/>
    <mergeCell ref="F500:G500"/>
    <mergeCell ref="F527:G527"/>
    <mergeCell ref="F528:G528"/>
    <mergeCell ref="F529:G529"/>
    <mergeCell ref="F530:G530"/>
    <mergeCell ref="H474:I474"/>
    <mergeCell ref="H475:I475"/>
    <mergeCell ref="H476:I476"/>
    <mergeCell ref="H477:I477"/>
    <mergeCell ref="H478:I478"/>
    <mergeCell ref="H479:I479"/>
    <mergeCell ref="H480:I480"/>
    <mergeCell ref="H481:I481"/>
    <mergeCell ref="H482:I482"/>
    <mergeCell ref="H483:I483"/>
    <mergeCell ref="H484:I484"/>
    <mergeCell ref="H485:I485"/>
    <mergeCell ref="H486:I486"/>
    <mergeCell ref="H487:I487"/>
    <mergeCell ref="H488:I488"/>
    <mergeCell ref="H489:I489"/>
    <mergeCell ref="H490:I490"/>
    <mergeCell ref="H492:I492"/>
    <mergeCell ref="H493:I493"/>
    <mergeCell ref="H494:I494"/>
    <mergeCell ref="H495:I495"/>
    <mergeCell ref="F501:G501"/>
    <mergeCell ref="F502:G502"/>
    <mergeCell ref="F503:G503"/>
    <mergeCell ref="F504:G504"/>
    <mergeCell ref="F505:G505"/>
    <mergeCell ref="F251:G251"/>
    <mergeCell ref="F252:G252"/>
    <mergeCell ref="F253:G253"/>
    <mergeCell ref="F254:G254"/>
    <mergeCell ref="F255:G255"/>
    <mergeCell ref="F256:G256"/>
    <mergeCell ref="A193:A195"/>
    <mergeCell ref="B193:B195"/>
    <mergeCell ref="C193:D195"/>
    <mergeCell ref="F195:G195"/>
    <mergeCell ref="E193:E195"/>
    <mergeCell ref="F474:G474"/>
    <mergeCell ref="F475:G475"/>
    <mergeCell ref="F476:G476"/>
    <mergeCell ref="F477:G477"/>
    <mergeCell ref="F478:G478"/>
    <mergeCell ref="F479:G479"/>
    <mergeCell ref="C251:D251"/>
    <mergeCell ref="C252:D252"/>
    <mergeCell ref="C253:D253"/>
    <mergeCell ref="C254:D254"/>
    <mergeCell ref="C255:D255"/>
    <mergeCell ref="A256:D256"/>
    <mergeCell ref="F196:G196"/>
    <mergeCell ref="F197:G197"/>
    <mergeCell ref="F198:G198"/>
    <mergeCell ref="F199:G199"/>
    <mergeCell ref="F206:G206"/>
    <mergeCell ref="F207:G207"/>
    <mergeCell ref="F208:G208"/>
    <mergeCell ref="F209:G209"/>
    <mergeCell ref="F210:G210"/>
    <mergeCell ref="C245:D245"/>
    <mergeCell ref="C246:D246"/>
    <mergeCell ref="C247:D247"/>
    <mergeCell ref="C248:D248"/>
    <mergeCell ref="C249:D249"/>
    <mergeCell ref="C250:D250"/>
    <mergeCell ref="F245:G245"/>
    <mergeCell ref="F246:G246"/>
    <mergeCell ref="F247:G247"/>
    <mergeCell ref="F248:G248"/>
    <mergeCell ref="F249:G249"/>
    <mergeCell ref="F250:G250"/>
    <mergeCell ref="C238:D238"/>
    <mergeCell ref="C239:D239"/>
    <mergeCell ref="C240:D240"/>
    <mergeCell ref="C241:D241"/>
    <mergeCell ref="C242:D242"/>
    <mergeCell ref="C243:D243"/>
    <mergeCell ref="C244:D244"/>
    <mergeCell ref="F238:G238"/>
    <mergeCell ref="F239:G239"/>
    <mergeCell ref="F244:G244"/>
    <mergeCell ref="F240:G240"/>
    <mergeCell ref="F241:G241"/>
    <mergeCell ref="F242:G242"/>
    <mergeCell ref="F243:G243"/>
    <mergeCell ref="C234:D234"/>
    <mergeCell ref="C235:D235"/>
    <mergeCell ref="C236:D236"/>
    <mergeCell ref="C237:D237"/>
    <mergeCell ref="F234:G234"/>
    <mergeCell ref="F235:G235"/>
    <mergeCell ref="F236:G236"/>
    <mergeCell ref="F237:G237"/>
    <mergeCell ref="C228:D228"/>
    <mergeCell ref="C229:D229"/>
    <mergeCell ref="C230:D230"/>
    <mergeCell ref="C231:D231"/>
    <mergeCell ref="C232:D232"/>
    <mergeCell ref="C233:D233"/>
    <mergeCell ref="F228:G228"/>
    <mergeCell ref="F229:G229"/>
    <mergeCell ref="F230:G230"/>
    <mergeCell ref="F231:G231"/>
    <mergeCell ref="F232:G232"/>
    <mergeCell ref="F233:G233"/>
    <mergeCell ref="C226:D226"/>
    <mergeCell ref="C227:D227"/>
    <mergeCell ref="F222:G222"/>
    <mergeCell ref="F223:G223"/>
    <mergeCell ref="F224:G224"/>
    <mergeCell ref="F225:G225"/>
    <mergeCell ref="F226:G226"/>
    <mergeCell ref="F227:G227"/>
    <mergeCell ref="C217:D217"/>
    <mergeCell ref="C218:D218"/>
    <mergeCell ref="C219:D219"/>
    <mergeCell ref="C220:D220"/>
    <mergeCell ref="C221:D221"/>
    <mergeCell ref="F217:G217"/>
    <mergeCell ref="F218:G218"/>
    <mergeCell ref="F219:G219"/>
    <mergeCell ref="F220:G220"/>
    <mergeCell ref="F221:G221"/>
    <mergeCell ref="C223:D223"/>
    <mergeCell ref="C224:D224"/>
    <mergeCell ref="C225:D225"/>
    <mergeCell ref="C213:D213"/>
    <mergeCell ref="C214:D214"/>
    <mergeCell ref="C215:D215"/>
    <mergeCell ref="C216:D216"/>
    <mergeCell ref="F203:G203"/>
    <mergeCell ref="C203:D203"/>
    <mergeCell ref="C204:D204"/>
    <mergeCell ref="F204:G204"/>
    <mergeCell ref="A205:D205"/>
    <mergeCell ref="F205:G205"/>
    <mergeCell ref="C206:D206"/>
    <mergeCell ref="C207:D207"/>
    <mergeCell ref="C208:D208"/>
    <mergeCell ref="C222:D222"/>
    <mergeCell ref="F211:G211"/>
    <mergeCell ref="F212:G212"/>
    <mergeCell ref="F213:G213"/>
    <mergeCell ref="F214:G214"/>
    <mergeCell ref="F215:G215"/>
    <mergeCell ref="F216:G216"/>
    <mergeCell ref="C200:D200"/>
    <mergeCell ref="F200:G200"/>
    <mergeCell ref="C201:D201"/>
    <mergeCell ref="F201:G201"/>
    <mergeCell ref="C202:D202"/>
    <mergeCell ref="F202:G202"/>
    <mergeCell ref="C538:D538"/>
    <mergeCell ref="F538:I538"/>
    <mergeCell ref="A539:D539"/>
    <mergeCell ref="F539:I539"/>
    <mergeCell ref="C531:D531"/>
    <mergeCell ref="F531:I531"/>
    <mergeCell ref="C536:D536"/>
    <mergeCell ref="F536:I536"/>
    <mergeCell ref="F262:I262"/>
    <mergeCell ref="F263:I263"/>
    <mergeCell ref="C279:D279"/>
    <mergeCell ref="C261:D261"/>
    <mergeCell ref="C262:D262"/>
    <mergeCell ref="A263:D263"/>
    <mergeCell ref="C264:D264"/>
    <mergeCell ref="C265:D265"/>
    <mergeCell ref="F259:I259"/>
    <mergeCell ref="F264:I264"/>
    <mergeCell ref="F266:I266"/>
    <mergeCell ref="F268:I268"/>
    <mergeCell ref="C272:D272"/>
    <mergeCell ref="F272:I272"/>
    <mergeCell ref="C209:D209"/>
    <mergeCell ref="C210:D210"/>
    <mergeCell ref="C211:D211"/>
    <mergeCell ref="C212:D212"/>
    <mergeCell ref="C199:D199"/>
    <mergeCell ref="F138:G138"/>
    <mergeCell ref="H138:I138"/>
    <mergeCell ref="F139:G139"/>
    <mergeCell ref="H139:I139"/>
    <mergeCell ref="F140:G140"/>
    <mergeCell ref="H140:I140"/>
    <mergeCell ref="H127:I127"/>
    <mergeCell ref="F127:G127"/>
    <mergeCell ref="F128:G128"/>
    <mergeCell ref="H136:I136"/>
    <mergeCell ref="F137:G137"/>
    <mergeCell ref="F135:G135"/>
    <mergeCell ref="F141:G141"/>
    <mergeCell ref="C151:D151"/>
    <mergeCell ref="C152:D152"/>
    <mergeCell ref="F163:I163"/>
    <mergeCell ref="F164:I164"/>
    <mergeCell ref="C161:D161"/>
    <mergeCell ref="C162:D162"/>
    <mergeCell ref="F161:I161"/>
    <mergeCell ref="C147:D147"/>
    <mergeCell ref="C164:D164"/>
    <mergeCell ref="C135:D135"/>
    <mergeCell ref="C136:D136"/>
    <mergeCell ref="F129:G129"/>
    <mergeCell ref="F130:G130"/>
    <mergeCell ref="F146:I146"/>
    <mergeCell ref="C146:D146"/>
    <mergeCell ref="C142:D142"/>
    <mergeCell ref="F142:G142"/>
    <mergeCell ref="H142:I142"/>
    <mergeCell ref="H115:I115"/>
    <mergeCell ref="C123:D123"/>
    <mergeCell ref="C124:D124"/>
    <mergeCell ref="F120:G120"/>
    <mergeCell ref="C121:D121"/>
    <mergeCell ref="C128:D128"/>
    <mergeCell ref="C129:D129"/>
    <mergeCell ref="C130:D130"/>
    <mergeCell ref="C131:D131"/>
    <mergeCell ref="C118:D118"/>
    <mergeCell ref="C119:D119"/>
    <mergeCell ref="H111:I111"/>
    <mergeCell ref="F116:G116"/>
    <mergeCell ref="F115:G115"/>
    <mergeCell ref="F114:G114"/>
    <mergeCell ref="H121:I121"/>
    <mergeCell ref="H122:I122"/>
    <mergeCell ref="C117:D117"/>
    <mergeCell ref="H120:I120"/>
    <mergeCell ref="H117:I117"/>
    <mergeCell ref="C126:D126"/>
    <mergeCell ref="F123:G123"/>
    <mergeCell ref="F124:G124"/>
    <mergeCell ref="F122:G122"/>
    <mergeCell ref="H119:I119"/>
    <mergeCell ref="C127:D127"/>
    <mergeCell ref="H126:I126"/>
    <mergeCell ref="F12:I12"/>
    <mergeCell ref="F14:I14"/>
    <mergeCell ref="F15:I15"/>
    <mergeCell ref="F16:I16"/>
    <mergeCell ref="F17:I17"/>
    <mergeCell ref="F18:I18"/>
    <mergeCell ref="F19:I19"/>
    <mergeCell ref="F21:I21"/>
    <mergeCell ref="F22:I22"/>
    <mergeCell ref="F20:I20"/>
    <mergeCell ref="C15:D15"/>
    <mergeCell ref="C12:D12"/>
    <mergeCell ref="C26:D26"/>
    <mergeCell ref="F26:I26"/>
    <mergeCell ref="C28:D28"/>
    <mergeCell ref="C41:D41"/>
    <mergeCell ref="F41:I41"/>
    <mergeCell ref="C37:D37"/>
    <mergeCell ref="C13:D13"/>
    <mergeCell ref="F13:I13"/>
    <mergeCell ref="C19:D19"/>
    <mergeCell ref="C21:D21"/>
    <mergeCell ref="C22:D22"/>
    <mergeCell ref="C18:D18"/>
    <mergeCell ref="F23:I23"/>
    <mergeCell ref="C16:D16"/>
    <mergeCell ref="C17:D17"/>
    <mergeCell ref="F24:I24"/>
    <mergeCell ref="C20:D20"/>
    <mergeCell ref="C34:D34"/>
    <mergeCell ref="F34:I34"/>
    <mergeCell ref="C27:D27"/>
    <mergeCell ref="C35:D35"/>
    <mergeCell ref="F35:I35"/>
    <mergeCell ref="C40:D40"/>
    <mergeCell ref="F40:I40"/>
    <mergeCell ref="F283:I283"/>
    <mergeCell ref="C284:D284"/>
    <mergeCell ref="C258:D258"/>
    <mergeCell ref="C259:D259"/>
    <mergeCell ref="C260:D260"/>
    <mergeCell ref="F260:I260"/>
    <mergeCell ref="F261:I261"/>
    <mergeCell ref="F418:I418"/>
    <mergeCell ref="F420:I420"/>
    <mergeCell ref="C390:D390"/>
    <mergeCell ref="C426:D426"/>
    <mergeCell ref="F279:I279"/>
    <mergeCell ref="C267:D267"/>
    <mergeCell ref="C266:D266"/>
    <mergeCell ref="F267:I267"/>
    <mergeCell ref="C268:D268"/>
    <mergeCell ref="C269:D269"/>
    <mergeCell ref="C270:D270"/>
    <mergeCell ref="F269:I269"/>
    <mergeCell ref="A145:D145"/>
    <mergeCell ref="H145:I145"/>
    <mergeCell ref="F145:G145"/>
    <mergeCell ref="H133:I133"/>
    <mergeCell ref="H134:I134"/>
    <mergeCell ref="H137:I137"/>
    <mergeCell ref="C100:D100"/>
    <mergeCell ref="C122:D122"/>
    <mergeCell ref="H116:I116"/>
    <mergeCell ref="C23:D23"/>
    <mergeCell ref="A24:D24"/>
    <mergeCell ref="C25:D25"/>
    <mergeCell ref="F25:I25"/>
    <mergeCell ref="C39:D39"/>
    <mergeCell ref="F39:I39"/>
    <mergeCell ref="C53:D53"/>
    <mergeCell ref="F53:I53"/>
    <mergeCell ref="C141:D141"/>
    <mergeCell ref="H128:I128"/>
    <mergeCell ref="H129:I129"/>
    <mergeCell ref="H130:I130"/>
    <mergeCell ref="H131:I131"/>
    <mergeCell ref="H132:I132"/>
    <mergeCell ref="H135:I135"/>
    <mergeCell ref="C132:D132"/>
    <mergeCell ref="C133:D133"/>
    <mergeCell ref="C134:D134"/>
    <mergeCell ref="F37:I37"/>
    <mergeCell ref="C38:D38"/>
    <mergeCell ref="F38:I38"/>
    <mergeCell ref="C33:D33"/>
    <mergeCell ref="F33:I33"/>
    <mergeCell ref="C30:D30"/>
    <mergeCell ref="F28:I28"/>
    <mergeCell ref="C29:D29"/>
    <mergeCell ref="F27:I27"/>
    <mergeCell ref="F29:I29"/>
    <mergeCell ref="F30:I30"/>
    <mergeCell ref="F32:I32"/>
    <mergeCell ref="A45:D45"/>
    <mergeCell ref="F45:I45"/>
    <mergeCell ref="C276:D276"/>
    <mergeCell ref="C346:D346"/>
    <mergeCell ref="F358:I358"/>
    <mergeCell ref="C356:D356"/>
    <mergeCell ref="F356:I356"/>
    <mergeCell ref="C357:D357"/>
    <mergeCell ref="F357:I357"/>
    <mergeCell ref="C395:D395"/>
    <mergeCell ref="C392:D392"/>
    <mergeCell ref="C396:D396"/>
    <mergeCell ref="C397:D397"/>
    <mergeCell ref="F397:I397"/>
    <mergeCell ref="F405:I405"/>
    <mergeCell ref="C408:D408"/>
    <mergeCell ref="C405:D405"/>
    <mergeCell ref="C407:D407"/>
    <mergeCell ref="C403:D403"/>
    <mergeCell ref="F393:I393"/>
    <mergeCell ref="F392:I392"/>
    <mergeCell ref="F394:I394"/>
    <mergeCell ref="C360:D360"/>
    <mergeCell ref="F360:I360"/>
    <mergeCell ref="C362:D362"/>
    <mergeCell ref="F278:I278"/>
    <mergeCell ref="F281:I281"/>
    <mergeCell ref="C363:D363"/>
    <mergeCell ref="H143:I143"/>
    <mergeCell ref="F144:G144"/>
    <mergeCell ref="H144:I144"/>
    <mergeCell ref="C340:D340"/>
    <mergeCell ref="F340:I340"/>
    <mergeCell ref="C338:D338"/>
    <mergeCell ref="F338:I338"/>
    <mergeCell ref="C319:D319"/>
    <mergeCell ref="F319:I319"/>
    <mergeCell ref="C320:D320"/>
    <mergeCell ref="F320:I320"/>
    <mergeCell ref="F322:I322"/>
    <mergeCell ref="C323:D323"/>
    <mergeCell ref="F323:I323"/>
    <mergeCell ref="F336:I336"/>
    <mergeCell ref="C329:D329"/>
    <mergeCell ref="C278:D278"/>
    <mergeCell ref="F334:I334"/>
    <mergeCell ref="C313:D313"/>
    <mergeCell ref="C298:D298"/>
    <mergeCell ref="F298:I298"/>
    <mergeCell ref="F302:I302"/>
    <mergeCell ref="C303:D303"/>
    <mergeCell ref="F303:I303"/>
    <mergeCell ref="C304:D304"/>
    <mergeCell ref="F304:I304"/>
    <mergeCell ref="F143:G143"/>
    <mergeCell ref="C196:D196"/>
    <mergeCell ref="C197:D197"/>
    <mergeCell ref="C198:D198"/>
    <mergeCell ref="F273:I273"/>
    <mergeCell ref="C273:D273"/>
    <mergeCell ref="A108:D108"/>
    <mergeCell ref="F113:G113"/>
    <mergeCell ref="F111:G111"/>
    <mergeCell ref="C101:D101"/>
    <mergeCell ref="C137:D137"/>
    <mergeCell ref="C138:D138"/>
    <mergeCell ref="H113:I113"/>
    <mergeCell ref="F131:G131"/>
    <mergeCell ref="F280:I280"/>
    <mergeCell ref="C281:D281"/>
    <mergeCell ref="C417:D417"/>
    <mergeCell ref="C419:D419"/>
    <mergeCell ref="F410:I410"/>
    <mergeCell ref="F401:I401"/>
    <mergeCell ref="C413:D413"/>
    <mergeCell ref="F427:I427"/>
    <mergeCell ref="F426:I426"/>
    <mergeCell ref="F419:I419"/>
    <mergeCell ref="C366:D366"/>
    <mergeCell ref="C382:D382"/>
    <mergeCell ref="F371:I371"/>
    <mergeCell ref="F399:I399"/>
    <mergeCell ref="C400:D400"/>
    <mergeCell ref="F391:I391"/>
    <mergeCell ref="F421:I421"/>
    <mergeCell ref="C418:D418"/>
    <mergeCell ref="C411:D411"/>
    <mergeCell ref="F424:I424"/>
    <mergeCell ref="C388:D388"/>
    <mergeCell ref="C383:D383"/>
    <mergeCell ref="C385:D385"/>
    <mergeCell ref="F382:I382"/>
    <mergeCell ref="C48:D48"/>
    <mergeCell ref="A52:D52"/>
    <mergeCell ref="F48:I48"/>
    <mergeCell ref="F52:I52"/>
    <mergeCell ref="F36:I36"/>
    <mergeCell ref="C143:D143"/>
    <mergeCell ref="C144:D144"/>
    <mergeCell ref="H123:I123"/>
    <mergeCell ref="H124:I124"/>
    <mergeCell ref="F147:I147"/>
    <mergeCell ref="A271:D271"/>
    <mergeCell ref="C274:D274"/>
    <mergeCell ref="F270:I270"/>
    <mergeCell ref="F271:I271"/>
    <mergeCell ref="F313:I313"/>
    <mergeCell ref="C337:D337"/>
    <mergeCell ref="C327:D327"/>
    <mergeCell ref="C42:D42"/>
    <mergeCell ref="F42:I42"/>
    <mergeCell ref="C43:D43"/>
    <mergeCell ref="F43:I43"/>
    <mergeCell ref="C280:D280"/>
    <mergeCell ref="C305:D305"/>
    <mergeCell ref="C293:D293"/>
    <mergeCell ref="F332:I332"/>
    <mergeCell ref="F56:I56"/>
    <mergeCell ref="F132:G132"/>
    <mergeCell ref="F133:G133"/>
    <mergeCell ref="C105:D105"/>
    <mergeCell ref="C107:D107"/>
    <mergeCell ref="C106:D106"/>
    <mergeCell ref="H109:I109"/>
    <mergeCell ref="F288:I288"/>
    <mergeCell ref="C316:D316"/>
    <mergeCell ref="C312:D312"/>
    <mergeCell ref="F312:I312"/>
    <mergeCell ref="C309:D309"/>
    <mergeCell ref="F314:I314"/>
    <mergeCell ref="C324:D324"/>
    <mergeCell ref="F324:I324"/>
    <mergeCell ref="F287:I287"/>
    <mergeCell ref="C288:D288"/>
    <mergeCell ref="C31:D31"/>
    <mergeCell ref="F31:I31"/>
    <mergeCell ref="C32:D32"/>
    <mergeCell ref="F47:I47"/>
    <mergeCell ref="F46:I46"/>
    <mergeCell ref="C46:D46"/>
    <mergeCell ref="C47:D47"/>
    <mergeCell ref="C44:D44"/>
    <mergeCell ref="F44:I44"/>
    <mergeCell ref="F277:I277"/>
    <mergeCell ref="F117:G117"/>
    <mergeCell ref="F118:G118"/>
    <mergeCell ref="C257:D257"/>
    <mergeCell ref="F257:I257"/>
    <mergeCell ref="F49:I49"/>
    <mergeCell ref="C54:D54"/>
    <mergeCell ref="C55:D55"/>
    <mergeCell ref="A56:D56"/>
    <mergeCell ref="C49:D49"/>
    <mergeCell ref="F54:I54"/>
    <mergeCell ref="F55:I55"/>
    <mergeCell ref="F109:G109"/>
    <mergeCell ref="F594:I594"/>
    <mergeCell ref="A472:I472"/>
    <mergeCell ref="F586:I586"/>
    <mergeCell ref="C582:D582"/>
    <mergeCell ref="F582:I582"/>
    <mergeCell ref="F470:I470"/>
    <mergeCell ref="F584:I584"/>
    <mergeCell ref="F593:I593"/>
    <mergeCell ref="C587:D587"/>
    <mergeCell ref="F587:I587"/>
    <mergeCell ref="C586:D586"/>
    <mergeCell ref="C588:D588"/>
    <mergeCell ref="F588:I588"/>
    <mergeCell ref="C584:D584"/>
    <mergeCell ref="C585:D585"/>
    <mergeCell ref="C589:D589"/>
    <mergeCell ref="C592:D592"/>
    <mergeCell ref="C593:D593"/>
    <mergeCell ref="C594:D594"/>
    <mergeCell ref="C591:D591"/>
    <mergeCell ref="F483:G483"/>
    <mergeCell ref="F484:G484"/>
    <mergeCell ref="F485:G485"/>
    <mergeCell ref="F486:G486"/>
    <mergeCell ref="F487:G487"/>
    <mergeCell ref="F488:G488"/>
    <mergeCell ref="F489:G489"/>
    <mergeCell ref="F490:G490"/>
    <mergeCell ref="F492:G492"/>
    <mergeCell ref="F493:G493"/>
    <mergeCell ref="F494:G494"/>
    <mergeCell ref="F495:G495"/>
    <mergeCell ref="C544:D544"/>
    <mergeCell ref="C525:D525"/>
    <mergeCell ref="C503:D503"/>
    <mergeCell ref="C504:D504"/>
    <mergeCell ref="C506:D506"/>
    <mergeCell ref="C500:D500"/>
    <mergeCell ref="C505:D505"/>
    <mergeCell ref="C590:D590"/>
    <mergeCell ref="C545:D545"/>
    <mergeCell ref="F592:I592"/>
    <mergeCell ref="F590:I590"/>
    <mergeCell ref="C542:D542"/>
    <mergeCell ref="F542:I542"/>
    <mergeCell ref="C543:D543"/>
    <mergeCell ref="F543:I543"/>
    <mergeCell ref="F585:I585"/>
    <mergeCell ref="F591:I591"/>
    <mergeCell ref="C502:D502"/>
    <mergeCell ref="F589:I589"/>
    <mergeCell ref="C520:D520"/>
    <mergeCell ref="C517:D517"/>
    <mergeCell ref="C509:D509"/>
    <mergeCell ref="F550:I550"/>
    <mergeCell ref="C515:D515"/>
    <mergeCell ref="C522:D522"/>
    <mergeCell ref="A555:D555"/>
    <mergeCell ref="F555:I555"/>
    <mergeCell ref="C540:D540"/>
    <mergeCell ref="C529:D529"/>
    <mergeCell ref="C526:D526"/>
    <mergeCell ref="H514:I514"/>
    <mergeCell ref="H515:I515"/>
    <mergeCell ref="C499:D499"/>
    <mergeCell ref="C518:D518"/>
    <mergeCell ref="F583:I583"/>
    <mergeCell ref="C508:D508"/>
    <mergeCell ref="C527:D527"/>
    <mergeCell ref="F2:I2"/>
    <mergeCell ref="C10:D10"/>
    <mergeCell ref="A3:I3"/>
    <mergeCell ref="E5:E9"/>
    <mergeCell ref="C5:D9"/>
    <mergeCell ref="A5:A9"/>
    <mergeCell ref="B5:B9"/>
    <mergeCell ref="A11:I11"/>
    <mergeCell ref="A125:D125"/>
    <mergeCell ref="C111:D111"/>
    <mergeCell ref="C115:D115"/>
    <mergeCell ref="C116:D116"/>
    <mergeCell ref="F121:G121"/>
    <mergeCell ref="A109:A110"/>
    <mergeCell ref="B109:B110"/>
    <mergeCell ref="C109:D110"/>
    <mergeCell ref="E109:E110"/>
    <mergeCell ref="C113:D113"/>
    <mergeCell ref="C112:D112"/>
    <mergeCell ref="C103:D103"/>
    <mergeCell ref="A102:D102"/>
    <mergeCell ref="C104:D104"/>
    <mergeCell ref="H125:I125"/>
    <mergeCell ref="F5:I9"/>
    <mergeCell ref="C99:D99"/>
    <mergeCell ref="C98:D98"/>
    <mergeCell ref="C36:D36"/>
    <mergeCell ref="F10:I10"/>
    <mergeCell ref="C14:D14"/>
    <mergeCell ref="C452:D452"/>
    <mergeCell ref="C583:D583"/>
    <mergeCell ref="F457:I457"/>
    <mergeCell ref="F471:I471"/>
    <mergeCell ref="F462:I462"/>
    <mergeCell ref="F464:I464"/>
    <mergeCell ref="F454:I454"/>
    <mergeCell ref="C454:D454"/>
    <mergeCell ref="C549:D549"/>
    <mergeCell ref="F549:I549"/>
    <mergeCell ref="C550:D550"/>
    <mergeCell ref="C453:D453"/>
    <mergeCell ref="C464:D464"/>
    <mergeCell ref="C456:D456"/>
    <mergeCell ref="A459:D459"/>
    <mergeCell ref="F458:I458"/>
    <mergeCell ref="F463:I463"/>
    <mergeCell ref="F456:I456"/>
    <mergeCell ref="F545:I545"/>
    <mergeCell ref="C449:D449"/>
    <mergeCell ref="F450:I450"/>
    <mergeCell ref="F366:I366"/>
    <mergeCell ref="F361:I361"/>
    <mergeCell ref="C490:D490"/>
    <mergeCell ref="C498:D498"/>
    <mergeCell ref="C451:D451"/>
    <mergeCell ref="C484:D484"/>
    <mergeCell ref="F453:I453"/>
    <mergeCell ref="C486:D486"/>
    <mergeCell ref="A485:D485"/>
    <mergeCell ref="C497:D497"/>
    <mergeCell ref="F496:G496"/>
    <mergeCell ref="F497:G497"/>
    <mergeCell ref="F498:G498"/>
    <mergeCell ref="C494:D494"/>
    <mergeCell ref="C493:D493"/>
    <mergeCell ref="C471:D471"/>
    <mergeCell ref="C469:D469"/>
    <mergeCell ref="F452:I452"/>
    <mergeCell ref="F465:I465"/>
    <mergeCell ref="C470:D470"/>
    <mergeCell ref="C483:D483"/>
    <mergeCell ref="C480:D480"/>
    <mergeCell ref="C481:D481"/>
    <mergeCell ref="C479:D479"/>
    <mergeCell ref="C476:D476"/>
    <mergeCell ref="C477:D477"/>
    <mergeCell ref="C478:D478"/>
    <mergeCell ref="H491:I491"/>
    <mergeCell ref="C461:D461"/>
    <mergeCell ref="F461:I461"/>
    <mergeCell ref="F469:I469"/>
    <mergeCell ref="C457:D457"/>
    <mergeCell ref="F339:I339"/>
    <mergeCell ref="F315:I315"/>
    <mergeCell ref="C361:D361"/>
    <mergeCell ref="C365:D365"/>
    <mergeCell ref="C343:D343"/>
    <mergeCell ref="F329:I329"/>
    <mergeCell ref="F374:I374"/>
    <mergeCell ref="F434:I434"/>
    <mergeCell ref="C409:D409"/>
    <mergeCell ref="F443:I443"/>
    <mergeCell ref="C487:D487"/>
    <mergeCell ref="C488:D488"/>
    <mergeCell ref="C489:D489"/>
    <mergeCell ref="C492:D492"/>
    <mergeCell ref="F480:G480"/>
    <mergeCell ref="F481:G481"/>
    <mergeCell ref="F482:G482"/>
    <mergeCell ref="C482:D482"/>
    <mergeCell ref="F384:I384"/>
    <mergeCell ref="C387:D387"/>
    <mergeCell ref="C393:D393"/>
    <mergeCell ref="C368:D368"/>
    <mergeCell ref="C371:D371"/>
    <mergeCell ref="A372:D372"/>
    <mergeCell ref="F372:I372"/>
    <mergeCell ref="F400:I400"/>
    <mergeCell ref="F386:I386"/>
    <mergeCell ref="C404:D404"/>
    <mergeCell ref="F404:I404"/>
    <mergeCell ref="F409:I409"/>
    <mergeCell ref="C369:D369"/>
    <mergeCell ref="F430:I430"/>
    <mergeCell ref="F343:I343"/>
    <mergeCell ref="C330:D330"/>
    <mergeCell ref="F330:I330"/>
    <mergeCell ref="C302:D302"/>
    <mergeCell ref="C321:D321"/>
    <mergeCell ref="F321:I321"/>
    <mergeCell ref="F317:I317"/>
    <mergeCell ref="C355:D355"/>
    <mergeCell ref="F365:I365"/>
    <mergeCell ref="C349:D349"/>
    <mergeCell ref="C440:D440"/>
    <mergeCell ref="F455:I455"/>
    <mergeCell ref="F447:I447"/>
    <mergeCell ref="F446:I446"/>
    <mergeCell ref="C455:D455"/>
    <mergeCell ref="C458:D458"/>
    <mergeCell ref="C308:D308"/>
    <mergeCell ref="F308:I308"/>
    <mergeCell ref="C310:D310"/>
    <mergeCell ref="C350:D350"/>
    <mergeCell ref="C315:D315"/>
    <mergeCell ref="C314:D314"/>
    <mergeCell ref="C334:D334"/>
    <mergeCell ref="C328:D328"/>
    <mergeCell ref="C335:D335"/>
    <mergeCell ref="F335:I335"/>
    <mergeCell ref="C336:D336"/>
    <mergeCell ref="C345:D345"/>
    <mergeCell ref="F345:I345"/>
    <mergeCell ref="F438:I438"/>
    <mergeCell ref="F437:I437"/>
    <mergeCell ref="F337:I337"/>
    <mergeCell ref="C447:D447"/>
    <mergeCell ref="F442:I442"/>
    <mergeCell ref="F428:I428"/>
    <mergeCell ref="F431:I431"/>
    <mergeCell ref="F408:I408"/>
    <mergeCell ref="C421:D421"/>
    <mergeCell ref="C420:D420"/>
    <mergeCell ref="C398:D398"/>
    <mergeCell ref="C429:D429"/>
    <mergeCell ref="F425:I425"/>
    <mergeCell ref="C295:D295"/>
    <mergeCell ref="F295:I295"/>
    <mergeCell ref="C296:D296"/>
    <mergeCell ref="F296:I296"/>
    <mergeCell ref="F301:I301"/>
    <mergeCell ref="F297:I297"/>
    <mergeCell ref="C297:D297"/>
    <mergeCell ref="C299:D299"/>
    <mergeCell ref="F299:I299"/>
    <mergeCell ref="C300:D300"/>
    <mergeCell ref="F300:I300"/>
    <mergeCell ref="C301:D301"/>
    <mergeCell ref="F316:I316"/>
    <mergeCell ref="C317:D317"/>
    <mergeCell ref="F369:I369"/>
    <mergeCell ref="C359:D359"/>
    <mergeCell ref="C341:D341"/>
    <mergeCell ref="F341:I341"/>
    <mergeCell ref="C339:D339"/>
    <mergeCell ref="C342:D342"/>
    <mergeCell ref="F344:I344"/>
    <mergeCell ref="F342:I342"/>
    <mergeCell ref="F362:I362"/>
    <mergeCell ref="F363:I363"/>
    <mergeCell ref="F364:I364"/>
    <mergeCell ref="C386:D386"/>
    <mergeCell ref="F388:I388"/>
    <mergeCell ref="C410:D410"/>
    <mergeCell ref="C424:D424"/>
    <mergeCell ref="F423:I423"/>
    <mergeCell ref="C406:D406"/>
    <mergeCell ref="F411:I411"/>
    <mergeCell ref="F412:I412"/>
    <mergeCell ref="F417:I417"/>
    <mergeCell ref="A358:D358"/>
    <mergeCell ref="C375:D375"/>
    <mergeCell ref="F375:I375"/>
    <mergeCell ref="C376:D376"/>
    <mergeCell ref="F376:I376"/>
    <mergeCell ref="F136:G136"/>
    <mergeCell ref="F346:I346"/>
    <mergeCell ref="F305:I305"/>
    <mergeCell ref="C306:D306"/>
    <mergeCell ref="F306:I306"/>
    <mergeCell ref="C307:D307"/>
    <mergeCell ref="F307:I307"/>
    <mergeCell ref="F310:I310"/>
    <mergeCell ref="C182:D182"/>
    <mergeCell ref="F182:I182"/>
    <mergeCell ref="C190:D190"/>
    <mergeCell ref="F190:I190"/>
    <mergeCell ref="C187:D187"/>
    <mergeCell ref="C311:D311"/>
    <mergeCell ref="H141:I141"/>
    <mergeCell ref="C286:D286"/>
    <mergeCell ref="F286:I286"/>
    <mergeCell ref="F292:I292"/>
    <mergeCell ref="C282:D282"/>
    <mergeCell ref="F282:I282"/>
    <mergeCell ref="C283:D283"/>
    <mergeCell ref="F284:I284"/>
    <mergeCell ref="C285:D285"/>
    <mergeCell ref="C289:D289"/>
    <mergeCell ref="F289:I289"/>
    <mergeCell ref="C290:D290"/>
    <mergeCell ref="F290:I290"/>
    <mergeCell ref="C291:D291"/>
    <mergeCell ref="F291:I291"/>
    <mergeCell ref="C292:D292"/>
    <mergeCell ref="C318:D318"/>
    <mergeCell ref="F318:I318"/>
    <mergeCell ref="C191:D191"/>
    <mergeCell ref="C178:D178"/>
    <mergeCell ref="F178:I178"/>
    <mergeCell ref="C176:D176"/>
    <mergeCell ref="C150:D150"/>
    <mergeCell ref="F148:I148"/>
    <mergeCell ref="F149:I149"/>
    <mergeCell ref="F150:I150"/>
    <mergeCell ref="F151:I151"/>
    <mergeCell ref="F152:I152"/>
    <mergeCell ref="F134:G134"/>
    <mergeCell ref="F126:G126"/>
    <mergeCell ref="C139:D139"/>
    <mergeCell ref="C140:D140"/>
    <mergeCell ref="H118:I118"/>
    <mergeCell ref="F309:I309"/>
    <mergeCell ref="F293:I293"/>
    <mergeCell ref="C294:D294"/>
    <mergeCell ref="F294:I294"/>
    <mergeCell ref="C171:D171"/>
    <mergeCell ref="F171:I171"/>
    <mergeCell ref="F274:I274"/>
    <mergeCell ref="C275:D275"/>
    <mergeCell ref="F275:I275"/>
    <mergeCell ref="F276:I276"/>
    <mergeCell ref="C277:D277"/>
    <mergeCell ref="F285:I285"/>
    <mergeCell ref="F176:I176"/>
    <mergeCell ref="F158:I158"/>
    <mergeCell ref="F157:I157"/>
    <mergeCell ref="F153:I153"/>
    <mergeCell ref="F125:G125"/>
    <mergeCell ref="C153:D153"/>
    <mergeCell ref="C148:D148"/>
    <mergeCell ref="C149:D149"/>
    <mergeCell ref="C165:D165"/>
    <mergeCell ref="F165:I165"/>
    <mergeCell ref="C163:D163"/>
    <mergeCell ref="C412:D412"/>
    <mergeCell ref="C443:D443"/>
    <mergeCell ref="C170:D170"/>
    <mergeCell ref="C154:D154"/>
    <mergeCell ref="F187:I187"/>
    <mergeCell ref="C188:D188"/>
    <mergeCell ref="F188:I188"/>
    <mergeCell ref="C155:D155"/>
    <mergeCell ref="C189:D189"/>
    <mergeCell ref="F189:I189"/>
    <mergeCell ref="C173:D173"/>
    <mergeCell ref="F173:I173"/>
    <mergeCell ref="F170:I170"/>
    <mergeCell ref="C166:D166"/>
    <mergeCell ref="C172:D172"/>
    <mergeCell ref="F172:I172"/>
    <mergeCell ref="C174:D174"/>
    <mergeCell ref="F174:I174"/>
    <mergeCell ref="C175:D175"/>
    <mergeCell ref="F175:I175"/>
    <mergeCell ref="F154:I154"/>
    <mergeCell ref="C352:D352"/>
    <mergeCell ref="F352:I352"/>
    <mergeCell ref="C354:D354"/>
    <mergeCell ref="F354:I354"/>
    <mergeCell ref="C399:D399"/>
    <mergeCell ref="F429:I429"/>
    <mergeCell ref="F398:I398"/>
    <mergeCell ref="C422:D422"/>
    <mergeCell ref="F449:I449"/>
    <mergeCell ref="F439:I439"/>
    <mergeCell ref="C437:D437"/>
    <mergeCell ref="F436:I436"/>
    <mergeCell ref="F445:I445"/>
    <mergeCell ref="C438:D438"/>
    <mergeCell ref="C377:D377"/>
    <mergeCell ref="F377:I377"/>
    <mergeCell ref="A379:D379"/>
    <mergeCell ref="C381:D381"/>
    <mergeCell ref="C378:D378"/>
    <mergeCell ref="F378:I378"/>
    <mergeCell ref="F379:I379"/>
    <mergeCell ref="F390:I390"/>
    <mergeCell ref="C389:D389"/>
    <mergeCell ref="F440:I440"/>
    <mergeCell ref="C444:D444"/>
    <mergeCell ref="C446:D446"/>
    <mergeCell ref="C423:D423"/>
    <mergeCell ref="C442:D442"/>
    <mergeCell ref="F415:I415"/>
    <mergeCell ref="F416:I416"/>
    <mergeCell ref="C416:D416"/>
    <mergeCell ref="F413:I413"/>
    <mergeCell ref="F448:I448"/>
    <mergeCell ref="C434:D434"/>
    <mergeCell ref="C435:D435"/>
    <mergeCell ref="C445:D445"/>
    <mergeCell ref="F444:I444"/>
    <mergeCell ref="F359:I359"/>
    <mergeCell ref="C364:D364"/>
    <mergeCell ref="A367:D367"/>
    <mergeCell ref="F367:I367"/>
    <mergeCell ref="F368:I368"/>
    <mergeCell ref="C353:D353"/>
    <mergeCell ref="F353:I353"/>
    <mergeCell ref="F351:I351"/>
    <mergeCell ref="C441:D441"/>
    <mergeCell ref="C448:D448"/>
    <mergeCell ref="F451:I451"/>
    <mergeCell ref="C432:D432"/>
    <mergeCell ref="C433:D433"/>
    <mergeCell ref="C401:D401"/>
    <mergeCell ref="C450:D450"/>
    <mergeCell ref="C436:D436"/>
    <mergeCell ref="F432:I432"/>
    <mergeCell ref="C414:D414"/>
    <mergeCell ref="F422:I422"/>
    <mergeCell ref="F407:I407"/>
    <mergeCell ref="C431:D431"/>
    <mergeCell ref="C427:D427"/>
    <mergeCell ref="C428:D428"/>
    <mergeCell ref="C430:D430"/>
    <mergeCell ref="C402:D402"/>
    <mergeCell ref="C425:D425"/>
    <mergeCell ref="C415:D415"/>
    <mergeCell ref="F403:I403"/>
    <mergeCell ref="F406:I406"/>
    <mergeCell ref="C439:D439"/>
    <mergeCell ref="F435:I435"/>
    <mergeCell ref="F402:I402"/>
    <mergeCell ref="F194:G194"/>
    <mergeCell ref="F193:I193"/>
    <mergeCell ref="F396:I396"/>
    <mergeCell ref="A394:D394"/>
    <mergeCell ref="F373:I373"/>
    <mergeCell ref="C374:D374"/>
    <mergeCell ref="F383:I383"/>
    <mergeCell ref="F387:I387"/>
    <mergeCell ref="F385:I385"/>
    <mergeCell ref="F258:I258"/>
    <mergeCell ref="F311:I311"/>
    <mergeCell ref="F348:I348"/>
    <mergeCell ref="F265:I265"/>
    <mergeCell ref="A287:D287"/>
    <mergeCell ref="C384:D384"/>
    <mergeCell ref="F381:I381"/>
    <mergeCell ref="C348:D348"/>
    <mergeCell ref="F355:I355"/>
    <mergeCell ref="F350:I350"/>
    <mergeCell ref="C351:D351"/>
    <mergeCell ref="F349:I349"/>
    <mergeCell ref="F347:I347"/>
    <mergeCell ref="C370:D370"/>
    <mergeCell ref="F370:I370"/>
    <mergeCell ref="C373:D373"/>
    <mergeCell ref="C391:D391"/>
    <mergeCell ref="C344:D344"/>
    <mergeCell ref="C347:D347"/>
    <mergeCell ref="F327:I327"/>
    <mergeCell ref="C331:D331"/>
    <mergeCell ref="F331:I331"/>
    <mergeCell ref="C332:D332"/>
    <mergeCell ref="C180:D180"/>
    <mergeCell ref="F180:I180"/>
    <mergeCell ref="C556:D556"/>
    <mergeCell ref="F556:I556"/>
    <mergeCell ref="F540:I540"/>
    <mergeCell ref="C541:D541"/>
    <mergeCell ref="F541:I541"/>
    <mergeCell ref="C552:D552"/>
    <mergeCell ref="F552:I552"/>
    <mergeCell ref="C547:D547"/>
    <mergeCell ref="F547:I547"/>
    <mergeCell ref="C546:D546"/>
    <mergeCell ref="F546:I546"/>
    <mergeCell ref="A548:D548"/>
    <mergeCell ref="F548:I548"/>
    <mergeCell ref="F544:I544"/>
    <mergeCell ref="F380:I380"/>
    <mergeCell ref="C380:D380"/>
    <mergeCell ref="F192:I192"/>
    <mergeCell ref="C514:D514"/>
    <mergeCell ref="C507:D507"/>
    <mergeCell ref="F389:I389"/>
    <mergeCell ref="F328:I328"/>
    <mergeCell ref="C333:D333"/>
    <mergeCell ref="F333:I333"/>
    <mergeCell ref="C322:D322"/>
    <mergeCell ref="C325:D325"/>
    <mergeCell ref="F325:I325"/>
    <mergeCell ref="C326:D326"/>
    <mergeCell ref="F326:I326"/>
    <mergeCell ref="F433:I433"/>
    <mergeCell ref="F441:I441"/>
    <mergeCell ref="C169:D169"/>
    <mergeCell ref="F156:I156"/>
    <mergeCell ref="C524:D524"/>
    <mergeCell ref="C501:D501"/>
    <mergeCell ref="F414:I414"/>
    <mergeCell ref="F459:I459"/>
    <mergeCell ref="C462:D462"/>
    <mergeCell ref="C463:D463"/>
    <mergeCell ref="C468:D468"/>
    <mergeCell ref="F468:I468"/>
    <mergeCell ref="C465:D465"/>
    <mergeCell ref="F460:I460"/>
    <mergeCell ref="C460:D460"/>
    <mergeCell ref="C551:D551"/>
    <mergeCell ref="F551:I551"/>
    <mergeCell ref="A530:D530"/>
    <mergeCell ref="C528:D528"/>
    <mergeCell ref="C523:D523"/>
    <mergeCell ref="C167:D167"/>
    <mergeCell ref="F167:I167"/>
    <mergeCell ref="C185:D185"/>
    <mergeCell ref="F185:I185"/>
    <mergeCell ref="C186:D186"/>
    <mergeCell ref="F186:I186"/>
    <mergeCell ref="C181:D181"/>
    <mergeCell ref="F181:I181"/>
    <mergeCell ref="C183:D183"/>
    <mergeCell ref="F183:I183"/>
    <mergeCell ref="C184:D184"/>
    <mergeCell ref="F184:I184"/>
    <mergeCell ref="C179:D179"/>
    <mergeCell ref="F179:I179"/>
    <mergeCell ref="A66:D66"/>
    <mergeCell ref="F66:I66"/>
    <mergeCell ref="C510:D510"/>
    <mergeCell ref="C512:D512"/>
    <mergeCell ref="C495:D495"/>
    <mergeCell ref="C496:D496"/>
    <mergeCell ref="C516:D516"/>
    <mergeCell ref="C511:D511"/>
    <mergeCell ref="F82:I82"/>
    <mergeCell ref="F86:I86"/>
    <mergeCell ref="C85:D85"/>
    <mergeCell ref="F85:I85"/>
    <mergeCell ref="C86:D86"/>
    <mergeCell ref="C87:D87"/>
    <mergeCell ref="F87:I87"/>
    <mergeCell ref="C88:D88"/>
    <mergeCell ref="F88:I88"/>
    <mergeCell ref="C473:D475"/>
    <mergeCell ref="E473:E475"/>
    <mergeCell ref="F473:I473"/>
    <mergeCell ref="F166:I166"/>
    <mergeCell ref="C177:D177"/>
    <mergeCell ref="F177:I177"/>
    <mergeCell ref="F168:I168"/>
    <mergeCell ref="C168:D168"/>
    <mergeCell ref="F162:I162"/>
    <mergeCell ref="C160:D160"/>
    <mergeCell ref="F160:I160"/>
    <mergeCell ref="C159:D159"/>
    <mergeCell ref="C156:D156"/>
    <mergeCell ref="A157:D157"/>
    <mergeCell ref="C158:D158"/>
    <mergeCell ref="F89:I89"/>
    <mergeCell ref="C90:D90"/>
    <mergeCell ref="C78:D78"/>
    <mergeCell ref="C79:D79"/>
    <mergeCell ref="C80:D80"/>
    <mergeCell ref="F74:I74"/>
    <mergeCell ref="F75:I75"/>
    <mergeCell ref="F76:I76"/>
    <mergeCell ref="F77:I77"/>
    <mergeCell ref="F78:I78"/>
    <mergeCell ref="F79:I79"/>
    <mergeCell ref="F80:I80"/>
    <mergeCell ref="F81:I81"/>
    <mergeCell ref="C74:D74"/>
    <mergeCell ref="C75:D75"/>
    <mergeCell ref="C76:D76"/>
    <mergeCell ref="C57:D57"/>
    <mergeCell ref="F57:I57"/>
    <mergeCell ref="C58:D58"/>
    <mergeCell ref="F58:I58"/>
    <mergeCell ref="C59:D59"/>
    <mergeCell ref="F59:I59"/>
    <mergeCell ref="C60:D60"/>
    <mergeCell ref="F60:I60"/>
    <mergeCell ref="C61:D61"/>
    <mergeCell ref="F61:I61"/>
    <mergeCell ref="C62:D62"/>
    <mergeCell ref="F62:I62"/>
    <mergeCell ref="C63:D63"/>
    <mergeCell ref="F63:I63"/>
    <mergeCell ref="C65:D65"/>
    <mergeCell ref="F65:I65"/>
    <mergeCell ref="A581:D581"/>
    <mergeCell ref="F581:I581"/>
    <mergeCell ref="C51:D51"/>
    <mergeCell ref="F51:I51"/>
    <mergeCell ref="C561:D561"/>
    <mergeCell ref="F561:I561"/>
    <mergeCell ref="C562:D562"/>
    <mergeCell ref="F562:I562"/>
    <mergeCell ref="C563:D563"/>
    <mergeCell ref="F563:I563"/>
    <mergeCell ref="C564:D564"/>
    <mergeCell ref="F564:I564"/>
    <mergeCell ref="C565:D565"/>
    <mergeCell ref="F565:I565"/>
    <mergeCell ref="C566:D566"/>
    <mergeCell ref="F566:I566"/>
    <mergeCell ref="C567:D567"/>
    <mergeCell ref="F567:I567"/>
    <mergeCell ref="C568:D568"/>
    <mergeCell ref="F568:I568"/>
    <mergeCell ref="C560:D560"/>
    <mergeCell ref="F560:I560"/>
    <mergeCell ref="C77:D77"/>
    <mergeCell ref="F395:I395"/>
    <mergeCell ref="C81:D81"/>
    <mergeCell ref="C82:D82"/>
    <mergeCell ref="A83:D83"/>
    <mergeCell ref="F83:I83"/>
    <mergeCell ref="C84:D84"/>
    <mergeCell ref="F84:I84"/>
    <mergeCell ref="F90:I90"/>
    <mergeCell ref="F155:I155"/>
    <mergeCell ref="C575:D575"/>
    <mergeCell ref="F575:I575"/>
    <mergeCell ref="C576:D576"/>
    <mergeCell ref="F576:I576"/>
    <mergeCell ref="C569:D569"/>
    <mergeCell ref="F569:I569"/>
    <mergeCell ref="C570:D570"/>
    <mergeCell ref="F570:I570"/>
    <mergeCell ref="C571:D571"/>
    <mergeCell ref="F571:I571"/>
    <mergeCell ref="C572:D572"/>
    <mergeCell ref="F572:I572"/>
    <mergeCell ref="F97:I97"/>
    <mergeCell ref="A95:D95"/>
    <mergeCell ref="A97:D97"/>
    <mergeCell ref="C93:D93"/>
    <mergeCell ref="F93:I93"/>
    <mergeCell ref="C94:D94"/>
    <mergeCell ref="F94:I94"/>
    <mergeCell ref="F95:I95"/>
    <mergeCell ref="C96:D96"/>
    <mergeCell ref="F96:I96"/>
    <mergeCell ref="F191:I191"/>
    <mergeCell ref="A192:D192"/>
    <mergeCell ref="C557:D557"/>
    <mergeCell ref="F557:I557"/>
    <mergeCell ref="C466:D466"/>
    <mergeCell ref="C467:D467"/>
    <mergeCell ref="F466:I466"/>
    <mergeCell ref="F467:I467"/>
    <mergeCell ref="H112:I112"/>
    <mergeCell ref="H114:I114"/>
    <mergeCell ref="C71:D71"/>
    <mergeCell ref="F71:I71"/>
    <mergeCell ref="C72:D72"/>
    <mergeCell ref="F72:I72"/>
    <mergeCell ref="C519:D519"/>
    <mergeCell ref="C553:D553"/>
    <mergeCell ref="F553:I553"/>
    <mergeCell ref="C554:D554"/>
    <mergeCell ref="F554:I554"/>
    <mergeCell ref="A73:D73"/>
    <mergeCell ref="A473:A475"/>
    <mergeCell ref="B473:B475"/>
    <mergeCell ref="C50:D50"/>
    <mergeCell ref="F50:I50"/>
    <mergeCell ref="C573:D573"/>
    <mergeCell ref="F573:I573"/>
    <mergeCell ref="C574:D574"/>
    <mergeCell ref="F574:I574"/>
    <mergeCell ref="F112:G112"/>
    <mergeCell ref="C114:D114"/>
    <mergeCell ref="H110:I110"/>
    <mergeCell ref="F110:G110"/>
    <mergeCell ref="F119:G119"/>
    <mergeCell ref="C120:D120"/>
    <mergeCell ref="F169:I169"/>
    <mergeCell ref="F159:I159"/>
    <mergeCell ref="F64:I64"/>
    <mergeCell ref="A91:D91"/>
    <mergeCell ref="F91:I91"/>
    <mergeCell ref="C67:D67"/>
    <mergeCell ref="F67:I67"/>
    <mergeCell ref="C89:D89"/>
    <mergeCell ref="C532:D532"/>
    <mergeCell ref="F532:I532"/>
    <mergeCell ref="C533:D533"/>
    <mergeCell ref="F533:I533"/>
    <mergeCell ref="C534:D534"/>
    <mergeCell ref="F534:I534"/>
    <mergeCell ref="A535:D535"/>
    <mergeCell ref="F535:I535"/>
    <mergeCell ref="C537:D537"/>
    <mergeCell ref="F537:I537"/>
    <mergeCell ref="F1:I1"/>
    <mergeCell ref="A596:C596"/>
    <mergeCell ref="D596:E596"/>
    <mergeCell ref="F596:I596"/>
    <mergeCell ref="C577:D577"/>
    <mergeCell ref="F577:I577"/>
    <mergeCell ref="C578:D578"/>
    <mergeCell ref="F578:I578"/>
    <mergeCell ref="C579:D579"/>
    <mergeCell ref="F579:I579"/>
    <mergeCell ref="C580:D580"/>
    <mergeCell ref="F580:I580"/>
    <mergeCell ref="F73:I73"/>
    <mergeCell ref="C64:D64"/>
    <mergeCell ref="C92:D92"/>
    <mergeCell ref="F92:I92"/>
    <mergeCell ref="C68:D68"/>
    <mergeCell ref="F68:I68"/>
    <mergeCell ref="C69:D69"/>
    <mergeCell ref="F69:I69"/>
    <mergeCell ref="C70:D70"/>
    <mergeCell ref="F70:I70"/>
  </mergeCells>
  <pageMargins left="0.78740157480314965" right="0.39370078740157483" top="0.6692913385826772" bottom="0.78740157480314965" header="0.39370078740157483" footer="0.39370078740157483"/>
  <pageSetup paperSize="9" scale="51" firstPageNumber="10" fitToHeight="500" orientation="landscape" useFirstPageNumber="1" horizontalDpi="300" verticalDpi="300" r:id="rId4"/>
  <headerFooter alignWithMargins="0">
    <oddHeader>&amp;C&amp;"Times New Roman,обычный"&amp;14&amp;P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vt:lpstr>
      <vt:lpstr>НА</vt:lpstr>
      <vt:lpstr>З!Заголовки_для_печати</vt:lpstr>
      <vt:lpstr>НА!Заголовки_для_печати</vt:lpstr>
      <vt:lpstr>З!Область_печати</vt:lpstr>
      <vt:lpstr>НА!Область_печати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Тітенкова Юлія</dc:creator>
  <cp:lastModifiedBy>User</cp:lastModifiedBy>
  <cp:lastPrinted>2024-09-26T09:37:21Z</cp:lastPrinted>
  <dcterms:created xsi:type="dcterms:W3CDTF">2015-06-05T18:19:34Z</dcterms:created>
  <dcterms:modified xsi:type="dcterms:W3CDTF">2024-09-26T09:39:39Z</dcterms:modified>
</cp:coreProperties>
</file>