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230" activeTab="1"/>
  </bookViews>
  <sheets>
    <sheet name="З" sheetId="1" r:id="rId1"/>
    <sheet name="НА" sheetId="2" r:id="rId2"/>
  </sheets>
  <definedNames>
    <definedName name="_xlnm._FilterDatabase" localSheetId="0" hidden="1">З!$A$13:$D$102</definedName>
    <definedName name="_xlnm._FilterDatabase" localSheetId="1" hidden="1">НА!$A$5:$I$219</definedName>
    <definedName name="Z_4644111A_82C5_489B_9E53_EB80700E535E_.wvu.FilterData" localSheetId="0" hidden="1">З!$A$13:$D$102</definedName>
    <definedName name="Z_4644111A_82C5_489B_9E53_EB80700E535E_.wvu.FilterData" localSheetId="1" hidden="1">НА!$A$5:$I$219</definedName>
    <definedName name="Z_4644111A_82C5_489B_9E53_EB80700E535E_.wvu.PrintArea" localSheetId="0" hidden="1">З!$A$1:$D$102</definedName>
    <definedName name="Z_4644111A_82C5_489B_9E53_EB80700E535E_.wvu.PrintArea" localSheetId="1" hidden="1">НА!$A$1:$I$221</definedName>
    <definedName name="Z_4644111A_82C5_489B_9E53_EB80700E535E_.wvu.PrintTitles" localSheetId="0" hidden="1">З!$A:$C,З!$10:$13</definedName>
    <definedName name="Z_4644111A_82C5_489B_9E53_EB80700E535E_.wvu.PrintTitles" localSheetId="1" hidden="1">НА!$5:$10</definedName>
    <definedName name="Z_879B1E14_7CA4_4463_9C42_4E2586107585_.wvu.FilterData" localSheetId="0" hidden="1">З!$A$13:$D$102</definedName>
    <definedName name="Z_879B1E14_7CA4_4463_9C42_4E2586107585_.wvu.FilterData" localSheetId="1" hidden="1">НА!$A$5:$I$219</definedName>
    <definedName name="Z_879B1E14_7CA4_4463_9C42_4E2586107585_.wvu.PrintArea" localSheetId="0" hidden="1">З!$A$1:$D$102</definedName>
    <definedName name="Z_879B1E14_7CA4_4463_9C42_4E2586107585_.wvu.PrintArea" localSheetId="1" hidden="1">НА!$A$1:$I$221</definedName>
    <definedName name="Z_879B1E14_7CA4_4463_9C42_4E2586107585_.wvu.PrintTitles" localSheetId="0" hidden="1">З!$A:$C,З!$10:$13</definedName>
    <definedName name="Z_879B1E14_7CA4_4463_9C42_4E2586107585_.wvu.PrintTitles" localSheetId="1" hidden="1">НА!$5:$10</definedName>
    <definedName name="Z_C9A6F9B2_0582_46B8_BF5A_2A8D2AC01FE2_.wvu.FilterData" localSheetId="0" hidden="1">З!$A$13:$D$102</definedName>
    <definedName name="Z_C9A6F9B2_0582_46B8_BF5A_2A8D2AC01FE2_.wvu.FilterData" localSheetId="1" hidden="1">НА!$A$5:$I$219</definedName>
    <definedName name="Z_C9A6F9B2_0582_46B8_BF5A_2A8D2AC01FE2_.wvu.PrintArea" localSheetId="0" hidden="1">З!$A$1:$D$102</definedName>
    <definedName name="Z_C9A6F9B2_0582_46B8_BF5A_2A8D2AC01FE2_.wvu.PrintArea" localSheetId="1" hidden="1">НА!$A$1:$I$221</definedName>
    <definedName name="Z_C9A6F9B2_0582_46B8_BF5A_2A8D2AC01FE2_.wvu.PrintTitles" localSheetId="0" hidden="1">З!$A:$C,З!$10:$13</definedName>
    <definedName name="Z_C9A6F9B2_0582_46B8_BF5A_2A8D2AC01FE2_.wvu.PrintTitles" localSheetId="1" hidden="1">НА!$5:$10</definedName>
    <definedName name="_xlnm.Print_Titles" localSheetId="0">З!$A:$C,З!$10:$13</definedName>
    <definedName name="_xlnm.Print_Titles" localSheetId="1">НА!$5:$10</definedName>
    <definedName name="_xlnm.Print_Area" localSheetId="0">З!$A$1:$D$102</definedName>
    <definedName name="_xlnm.Print_Area" localSheetId="1">НА!$A$1:$I$221</definedName>
  </definedNames>
  <calcPr calcId="145621"/>
  <customWorkbookViews>
    <customWorkbookView name="Гаврилюк Олена - Особисте подання" guid="{4644111A-82C5-489B-9E53-EB80700E535E}" mergeInterval="0" personalView="1" maximized="1" xWindow="-8" yWindow="-8" windowWidth="1296" windowHeight="696" activeSheetId="2"/>
    <customWorkbookView name="Грешних Наталія - Особисте подання" guid="{879B1E14-7CA4-4463-9C42-4E2586107585}" mergeInterval="0" personalView="1" maximized="1" xWindow="-8" yWindow="-8" windowWidth="1936" windowHeight="1056" activeSheetId="2"/>
    <customWorkbookView name="Рябова Наталія - Особисте подання" guid="{C9A6F9B2-0582-46B8-BF5A-2A8D2AC01FE2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22" i="2" l="1"/>
  <c r="E23" i="2"/>
  <c r="E101" i="2"/>
  <c r="E100" i="2"/>
  <c r="E99" i="2"/>
  <c r="E98" i="2"/>
  <c r="E97" i="2"/>
  <c r="E96" i="2" l="1"/>
  <c r="E95" i="2"/>
  <c r="E94" i="2"/>
  <c r="E93" i="2"/>
  <c r="E92" i="2"/>
  <c r="E91" i="2"/>
  <c r="E90" i="2"/>
  <c r="E89" i="2"/>
  <c r="E88" i="2" l="1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F202" i="2" l="1"/>
  <c r="E202" i="2" s="1"/>
  <c r="E201" i="2" s="1"/>
  <c r="F199" i="2"/>
  <c r="E199" i="2" s="1"/>
  <c r="F205" i="2"/>
  <c r="F110" i="2"/>
  <c r="F109" i="2"/>
  <c r="F108" i="2"/>
  <c r="F107" i="2"/>
  <c r="F106" i="2"/>
  <c r="F105" i="2"/>
  <c r="F104" i="2"/>
  <c r="E195" i="2" l="1"/>
  <c r="E196" i="2"/>
  <c r="E194" i="2"/>
  <c r="E193" i="2"/>
  <c r="E190" i="2"/>
  <c r="D15" i="1" l="1"/>
  <c r="D96" i="1" l="1"/>
  <c r="D95" i="1"/>
  <c r="D93" i="1"/>
  <c r="D92" i="1"/>
  <c r="D90" i="1"/>
  <c r="D88" i="1"/>
  <c r="D86" i="1"/>
  <c r="D85" i="1"/>
  <c r="D83" i="1"/>
  <c r="D82" i="1"/>
  <c r="D81" i="1"/>
  <c r="D79" i="1"/>
  <c r="D78" i="1"/>
  <c r="D69" i="1"/>
  <c r="D74" i="1"/>
  <c r="D72" i="1"/>
  <c r="D71" i="1"/>
  <c r="D70" i="1"/>
  <c r="D68" i="1"/>
  <c r="D65" i="1"/>
  <c r="D63" i="1"/>
  <c r="D60" i="1"/>
  <c r="D59" i="1"/>
  <c r="D58" i="1"/>
  <c r="D57" i="1"/>
  <c r="D98" i="1"/>
  <c r="D56" i="1"/>
  <c r="D55" i="1"/>
  <c r="D54" i="1"/>
  <c r="D52" i="1"/>
  <c r="D49" i="1"/>
  <c r="D47" i="1"/>
  <c r="D44" i="1"/>
  <c r="D43" i="1"/>
  <c r="D40" i="1"/>
  <c r="D38" i="1"/>
  <c r="D100" i="1" l="1"/>
  <c r="F208" i="2"/>
  <c r="F217" i="2" l="1"/>
  <c r="D97" i="1"/>
  <c r="D94" i="1"/>
  <c r="D91" i="1"/>
  <c r="D89" i="1"/>
  <c r="D87" i="1"/>
  <c r="D84" i="1"/>
  <c r="D80" i="1"/>
  <c r="D77" i="1"/>
  <c r="D76" i="1"/>
  <c r="D75" i="1"/>
  <c r="D73" i="1"/>
  <c r="D67" i="1"/>
  <c r="D66" i="1"/>
  <c r="D64" i="1"/>
  <c r="D62" i="1"/>
  <c r="D61" i="1"/>
  <c r="D53" i="1"/>
  <c r="D51" i="1"/>
  <c r="D50" i="1"/>
  <c r="D48" i="1"/>
  <c r="D46" i="1"/>
  <c r="D45" i="1"/>
  <c r="D41" i="1"/>
  <c r="D39" i="1"/>
  <c r="D36" i="1"/>
  <c r="D35" i="1"/>
  <c r="D34" i="1"/>
  <c r="D33" i="1"/>
  <c r="F214" i="2"/>
  <c r="E17" i="2"/>
  <c r="D32" i="1" l="1"/>
  <c r="D27" i="1"/>
  <c r="D26" i="1"/>
  <c r="F211" i="2" l="1"/>
  <c r="E14" i="2" l="1"/>
  <c r="D31" i="1" l="1"/>
  <c r="D30" i="1"/>
  <c r="D29" i="1"/>
  <c r="D28" i="1"/>
  <c r="D25" i="1" s="1"/>
  <c r="D24" i="1"/>
  <c r="D18" i="1"/>
  <c r="E186" i="2" l="1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58" i="2"/>
  <c r="E163" i="2"/>
  <c r="E162" i="2"/>
  <c r="E161" i="2"/>
  <c r="E160" i="2"/>
  <c r="E159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87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4" i="2"/>
  <c r="E123" i="2"/>
  <c r="E121" i="2"/>
  <c r="E125" i="2"/>
  <c r="E120" i="2"/>
  <c r="E122" i="2"/>
  <c r="E119" i="2"/>
  <c r="E118" i="2"/>
  <c r="E117" i="2"/>
  <c r="E116" i="2"/>
  <c r="E115" i="2"/>
  <c r="E114" i="2"/>
  <c r="E113" i="2"/>
  <c r="F20" i="2"/>
  <c r="D20" i="1"/>
  <c r="E112" i="2" l="1"/>
  <c r="E192" i="2" l="1"/>
  <c r="E189" i="2" l="1"/>
  <c r="E16" i="2" l="1"/>
  <c r="E198" i="2" l="1"/>
  <c r="D99" i="1" l="1"/>
  <c r="E20" i="2" l="1"/>
  <c r="E19" i="2" s="1"/>
  <c r="E13" i="2" l="1"/>
  <c r="E211" i="2" l="1"/>
  <c r="E210" i="2" s="1"/>
  <c r="E110" i="2" l="1"/>
  <c r="E108" i="2"/>
  <c r="E109" i="2"/>
  <c r="E107" i="2"/>
  <c r="E106" i="2"/>
  <c r="E104" i="2"/>
  <c r="E105" i="2" l="1"/>
  <c r="E103" i="2" s="1"/>
  <c r="D23" i="1" l="1"/>
  <c r="D21" i="1" s="1"/>
  <c r="E208" i="2" l="1"/>
  <c r="E207" i="2" s="1"/>
  <c r="E205" i="2" l="1"/>
  <c r="E204" i="2" s="1"/>
  <c r="E214" i="2" l="1"/>
  <c r="E217" i="2" l="1"/>
  <c r="E216" i="2" s="1"/>
  <c r="E213" i="2" l="1"/>
  <c r="E219" i="2" s="1"/>
  <c r="E218" i="2" s="1"/>
  <c r="D19" i="1" l="1"/>
  <c r="D17" i="1"/>
  <c r="D101" i="1" l="1"/>
  <c r="D102" i="1"/>
</calcChain>
</file>

<file path=xl/sharedStrings.xml><?xml version="1.0" encoding="utf-8"?>
<sst xmlns="http://schemas.openxmlformats.org/spreadsheetml/2006/main" count="441" uniqueCount="246">
  <si>
    <t>Обласний бюджет</t>
  </si>
  <si>
    <t>Державний бюджет</t>
  </si>
  <si>
    <t>Код бюджету</t>
  </si>
  <si>
    <t>(код бюджету)</t>
  </si>
  <si>
    <t>з них</t>
  </si>
  <si>
    <t>Додаток 5</t>
  </si>
  <si>
    <t>Бюджет Дубовиківської сільської територіальної громади</t>
  </si>
  <si>
    <t xml:space="preserve">Бюджет Глеюватської сільської територіальної громади </t>
  </si>
  <si>
    <t xml:space="preserve">Бюджет Затишнянської сільської територіальної громади </t>
  </si>
  <si>
    <t xml:space="preserve">Бюджет Магдалинівської селищної територіальної громади </t>
  </si>
  <si>
    <t xml:space="preserve">Бюджет Обухівської селищної територіальної громади </t>
  </si>
  <si>
    <t xml:space="preserve">Бюджет Чернеччинської сільської територіальної громади </t>
  </si>
  <si>
    <t xml:space="preserve">Бюджет Підгородненської міської територіальної громади </t>
  </si>
  <si>
    <t xml:space="preserve">Бюджет Черкаської селищної територіальної громади </t>
  </si>
  <si>
    <t>Бюджет Вільногірської міської територіальної громади</t>
  </si>
  <si>
    <t>Бюджет Губиниської селищної територіальної громади</t>
  </si>
  <si>
    <t xml:space="preserve">Бюджет Дніпровської міської територіальної громади </t>
  </si>
  <si>
    <t>Бюджет Жовтоводської міської територіальної громади</t>
  </si>
  <si>
    <t>Бюджет Криворізької міської територіальної громади</t>
  </si>
  <si>
    <t>Бюджет Лозуватської сільської територіальної громади</t>
  </si>
  <si>
    <t>Бюджет Нікопольської міської територіальної громади</t>
  </si>
  <si>
    <t>Бюджет Новопільської сільської територіальної громади</t>
  </si>
  <si>
    <t>Бюджет Павлоградської міської територіальної громади</t>
  </si>
  <si>
    <t>Бюджет Петропавлівської селищної територіальної громади</t>
  </si>
  <si>
    <t>Бюджет Покровської сільської територіальної громади</t>
  </si>
  <si>
    <t>Бюджет П’ятихатської міської територіальної громади</t>
  </si>
  <si>
    <t>Бюджет Синельниківської міської територіальної громади</t>
  </si>
  <si>
    <t>Бюджет Тернівської міської територіальної громади</t>
  </si>
  <si>
    <t xml:space="preserve">Бюджет Марганецької міської територіальної громади </t>
  </si>
  <si>
    <t xml:space="preserve">Бюджет Покровської міської територіальної громади </t>
  </si>
  <si>
    <t>Бюджет Апостолівської міської територіальної громади</t>
  </si>
  <si>
    <t xml:space="preserve">Бюджет Богданівської сільської територіальної громади </t>
  </si>
  <si>
    <t xml:space="preserve">Бюджет Божедарівської селищної територіальної громади </t>
  </si>
  <si>
    <t xml:space="preserve">Бюджет Вербківської сільської територіальної громади </t>
  </si>
  <si>
    <t xml:space="preserve">Бюджет Зеленодольської міської територіальної громади </t>
  </si>
  <si>
    <t xml:space="preserve">Бюджет Грушівської сільської територіальної громади </t>
  </si>
  <si>
    <t xml:space="preserve">Бюджет Могилівської сільської територіальної громади </t>
  </si>
  <si>
    <t xml:space="preserve">Бюджет Новопокровської селищної територіальної громади </t>
  </si>
  <si>
    <t xml:space="preserve">Бюджет Солонянської селищної територіальної громади </t>
  </si>
  <si>
    <t xml:space="preserve">Бюджет Слобожанської селищної територіальної громади </t>
  </si>
  <si>
    <t xml:space="preserve">Бюджет Мирівської сільської територіальної громади </t>
  </si>
  <si>
    <t xml:space="preserve">Бюджет Васильківської селищної територіальної громади </t>
  </si>
  <si>
    <t xml:space="preserve">Бюджет Вишнівської селищної територіальної громади </t>
  </si>
  <si>
    <t xml:space="preserve">Бюджет Криничанської селищної територіальної громади </t>
  </si>
  <si>
    <t xml:space="preserve">Бюджет Покровської селищної територіальної громади </t>
  </si>
  <si>
    <t xml:space="preserve">Бюджет Роздорської селищної територіальної громади </t>
  </si>
  <si>
    <t xml:space="preserve">Бюджет Софіївської селищної  територіальної громади </t>
  </si>
  <si>
    <t xml:space="preserve">Бюджет Томаківської селищної територіальної громади </t>
  </si>
  <si>
    <t xml:space="preserve">Бюджет Царичанської селищної територіальної громади </t>
  </si>
  <si>
    <t xml:space="preserve">Бюджет Великомихайлівської сільської територіальної громади </t>
  </si>
  <si>
    <t xml:space="preserve">Бюджет Гречаноподівської сільської територіальної громади </t>
  </si>
  <si>
    <t xml:space="preserve">Бюджет Маломихайлівської сільської територіальної громади </t>
  </si>
  <si>
    <t xml:space="preserve">Бюджет Верхньодніпровської міської територіальної громади  </t>
  </si>
  <si>
    <t xml:space="preserve">Бюджет Межівської селищної територіальної громади </t>
  </si>
  <si>
    <t xml:space="preserve">Бюджет Червоногригорівської селищної територіальної громади </t>
  </si>
  <si>
    <t xml:space="preserve">Бюджет Троїцької сільської територіальної громади </t>
  </si>
  <si>
    <t xml:space="preserve">Бюджет Петриківської селищної територіальної громади </t>
  </si>
  <si>
    <t xml:space="preserve">Бюджет Раївської сільської територіальної громади </t>
  </si>
  <si>
    <t xml:space="preserve">Бюджет Карпівської сільської територіальної громади </t>
  </si>
  <si>
    <t xml:space="preserve">Бюджет Широківської селищної територіальної громади </t>
  </si>
  <si>
    <t xml:space="preserve">Бюджет Любимівської сільської територіальної громади </t>
  </si>
  <si>
    <t xml:space="preserve">Бюджет Саксаганської сільської територіальної громади </t>
  </si>
  <si>
    <t xml:space="preserve">Бюджет Девладівської сільської територіальної громади </t>
  </si>
  <si>
    <t>Бюджет Личківської сільської територіальної громади</t>
  </si>
  <si>
    <t>Бюджет Перещепинської міської територіальної громади</t>
  </si>
  <si>
    <t>Бюджет Піщанської сільської територіальної громади</t>
  </si>
  <si>
    <t xml:space="preserve">Бюджет Межиріцької сільської територіальної громади </t>
  </si>
  <si>
    <t xml:space="preserve">Бюджет Новоолександрівської сільської територіальної громади </t>
  </si>
  <si>
    <t>Усього</t>
  </si>
  <si>
    <t>загальний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</si>
  <si>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</si>
  <si>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</si>
  <si>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1</t>
  </si>
  <si>
    <t>0919270</t>
  </si>
  <si>
    <t>0819770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</si>
  <si>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</si>
  <si>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</si>
  <si>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</si>
  <si>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</si>
  <si>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Бюджет Миколаївської сільської територіальної громади (Синельниківський район) </t>
  </si>
  <si>
    <t>Бюджет Миколаївської сільської територіальної громади (Дніпровський район)</t>
  </si>
  <si>
    <t>3719150</t>
  </si>
  <si>
    <t xml:space="preserve">Інші дотації з місцевого бюджету </t>
  </si>
  <si>
    <t>Субвенція з державного бюджету місцевим бюджетам на здійснення підтримки окремих закладів та заходів у системі охорони здоров’я</t>
  </si>
  <si>
    <t>(грн)</t>
  </si>
  <si>
    <t>х</t>
  </si>
  <si>
    <t xml:space="preserve"> видатки споживання</t>
  </si>
  <si>
    <t>Субвенція з місцевого бюджету державному бюджету на виконання програм соціально-економічного розвитку регіонів</t>
  </si>
  <si>
    <t>2919800</t>
  </si>
  <si>
    <t>2219800</t>
  </si>
  <si>
    <t>3719800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</si>
  <si>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</si>
  <si>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0410000000</t>
  </si>
  <si>
    <t>Бюджет Верхівцевської міської територіальної громади</t>
  </si>
  <si>
    <t>Інші субвенції з місцевого бюджету,</t>
  </si>
  <si>
    <t>у тому числі:</t>
  </si>
  <si>
    <t>0453600000</t>
  </si>
  <si>
    <t>0119770</t>
  </si>
  <si>
    <t>УСЬОГО за розділами І, ІІ, 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</si>
  <si>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</si>
  <si>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Бюджет Слов’янської сільської територіальної громади</t>
  </si>
  <si>
    <t xml:space="preserve">Бюджет Кам’янської міської територіальної громади </t>
  </si>
  <si>
    <t>на забезпечення офтальмологічної допомоги населенню міста</t>
  </si>
  <si>
    <t>0457810000</t>
  </si>
  <si>
    <t>1219770</t>
  </si>
  <si>
    <t>видатки розвитку</t>
  </si>
  <si>
    <t>Субвенція з обласного бюджету місцевим бюджетам на забезпечення окремих видатків районних рад, спрямованих на виконання їх повноважень</t>
  </si>
  <si>
    <t>Районний бюджет Дніпровського району</t>
  </si>
  <si>
    <t>Районний бюджет Криворізького району</t>
  </si>
  <si>
    <t>Районний бюджет Нікопольського району</t>
  </si>
  <si>
    <t>Районний бюджет Павлоградського району</t>
  </si>
  <si>
    <t>Районний бюджет Синельниківського району</t>
  </si>
  <si>
    <t>Районний бюджет Кам’янського району</t>
  </si>
  <si>
    <t>0430420000</t>
  </si>
  <si>
    <t>0430520000</t>
  </si>
  <si>
    <t>0430920000</t>
  </si>
  <si>
    <t>0431020000</t>
  </si>
  <si>
    <t>0431120000</t>
  </si>
  <si>
    <t>0431620000</t>
  </si>
  <si>
    <t>0432320000</t>
  </si>
  <si>
    <t xml:space="preserve">до рішення обласної ради </t>
  </si>
  <si>
    <t xml:space="preserve">Заступник голови обласної ради </t>
  </si>
  <si>
    <t>Реверсна дотація</t>
  </si>
  <si>
    <t>Департамент фінансів Дніпропетровської обласної державної адміністрації</t>
  </si>
  <si>
    <t>Служба у справах дітей Дніпропетровської обласної державної адміністрації</t>
  </si>
  <si>
    <t>Обласна рада</t>
  </si>
  <si>
    <t>Департамент соціального захисту населення Дніпропетровської обласної державної адміністрації</t>
  </si>
  <si>
    <t>Департамент капітального будівництва Дніпропетровської обласної державної адміністрації</t>
  </si>
  <si>
    <t>Департамент житлово-комунального господарства та будівництва Дніпропетровської обласної державної адміністрації</t>
  </si>
  <si>
    <t>Районний бюджет Самарівського району</t>
  </si>
  <si>
    <t>Управління взаємодії з правоохоронними органами та оборонної роботи Дніпропетровської обласної державної адміністрації</t>
  </si>
  <si>
    <t>Департамент цивільного захисту Дніпропетровської обласної державної адміністрації</t>
  </si>
  <si>
    <t xml:space="preserve">Бюджет Вакулівської сільської територіальної громади </t>
  </si>
  <si>
    <t xml:space="preserve">Бюджет Новолатівської сільської територіальної громади </t>
  </si>
  <si>
    <t>0450500000</t>
  </si>
  <si>
    <t>0450300000</t>
  </si>
  <si>
    <t>0452000000</t>
  </si>
  <si>
    <t>0456300000</t>
  </si>
  <si>
    <t>0453000000</t>
  </si>
  <si>
    <t>0455600000</t>
  </si>
  <si>
    <t>0454500000</t>
  </si>
  <si>
    <t>Бюджет Зайцівської сільської територіальної громади</t>
  </si>
  <si>
    <t>0450600000</t>
  </si>
  <si>
    <t>0455000000</t>
  </si>
  <si>
    <t>0455700000</t>
  </si>
  <si>
    <t>0457900000</t>
  </si>
  <si>
    <t>0458300000</t>
  </si>
  <si>
    <t>0451100000</t>
  </si>
  <si>
    <t>0456800000</t>
  </si>
  <si>
    <t>0451300000</t>
  </si>
  <si>
    <t>0454200000</t>
  </si>
  <si>
    <t>0455100000</t>
  </si>
  <si>
    <t>0452200000</t>
  </si>
  <si>
    <t xml:space="preserve">Бюджет Лихівської селищної територіальної громади </t>
  </si>
  <si>
    <t>0457400000</t>
  </si>
  <si>
    <t>0457700000</t>
  </si>
  <si>
    <t>0458200000</t>
  </si>
  <si>
    <t>0458400000</t>
  </si>
  <si>
    <t>0456200000</t>
  </si>
  <si>
    <t>0458900000</t>
  </si>
  <si>
    <t>0459100000</t>
  </si>
  <si>
    <t>0450100000</t>
  </si>
  <si>
    <t>0450200000</t>
  </si>
  <si>
    <t>0451800000</t>
  </si>
  <si>
    <t>0457200000</t>
  </si>
  <si>
    <t>0451900000</t>
  </si>
  <si>
    <t>0457300000</t>
  </si>
  <si>
    <t>0457500000</t>
  </si>
  <si>
    <t>0453500000</t>
  </si>
  <si>
    <t>0456400000</t>
  </si>
  <si>
    <t>0454700000</t>
  </si>
  <si>
    <t>0454900000</t>
  </si>
  <si>
    <t xml:space="preserve">Бюджет Китайгородської сільської територіальної громади </t>
  </si>
  <si>
    <t>0452100000</t>
  </si>
  <si>
    <t>0455300000</t>
  </si>
  <si>
    <t>0450800000</t>
  </si>
  <si>
    <t xml:space="preserve">Бюджет Ляшківської сільської територіальної громади </t>
  </si>
  <si>
    <t>0456500000</t>
  </si>
  <si>
    <t>0454100000</t>
  </si>
  <si>
    <t>0454400000</t>
  </si>
  <si>
    <t>0450900000</t>
  </si>
  <si>
    <t>0451000000</t>
  </si>
  <si>
    <t xml:space="preserve">Бюджет Нивотрудівської сільської територіальної громади </t>
  </si>
  <si>
    <t>0453200000</t>
  </si>
  <si>
    <t>0451200000</t>
  </si>
  <si>
    <t>0456600000</t>
  </si>
  <si>
    <t>0455800000</t>
  </si>
  <si>
    <t>0453900000</t>
  </si>
  <si>
    <t>0454300000</t>
  </si>
  <si>
    <t>0458600000</t>
  </si>
  <si>
    <t>0455900000</t>
  </si>
  <si>
    <t>0458800000</t>
  </si>
  <si>
    <t>0452400000</t>
  </si>
  <si>
    <t>0455500000</t>
  </si>
  <si>
    <t>0450400000</t>
  </si>
  <si>
    <t>0451500000</t>
  </si>
  <si>
    <t>0452500000</t>
  </si>
  <si>
    <t>0451400000</t>
  </si>
  <si>
    <t xml:space="preserve">Бюджет Сурсько-Литовської сільської територіальної громади </t>
  </si>
  <si>
    <t>0452600000</t>
  </si>
  <si>
    <t>0455400000</t>
  </si>
  <si>
    <t>0452700000</t>
  </si>
  <si>
    <t>0456700000</t>
  </si>
  <si>
    <t>0456000000</t>
  </si>
  <si>
    <t>Бюджет Чумаківської сільської територіальної громади</t>
  </si>
  <si>
    <t>0455200000</t>
  </si>
  <si>
    <t>Субвенція з обласного бюджету до місцевих бюджетів на соціально-економічний розвиток окремих територій</t>
  </si>
  <si>
    <t>1519770</t>
  </si>
  <si>
    <t>0454600000</t>
  </si>
  <si>
    <t>видатки споживання</t>
  </si>
  <si>
    <t>Субвенція з обласного бюджету Дніпропетровської області до обласного бюджету Закарпатської області для організації надання соціальних послуг стаціонарного догляду для дітей з інвалідністю</t>
  </si>
  <si>
    <t>Обласний бюджет Закарпатської області</t>
  </si>
  <si>
    <t>Субвенція з обласного бюджету Дніпропетровської області для організації надання соціальних послуг стаціонарного догляду для громадян похилого віку та осіб з інвалідністю</t>
  </si>
  <si>
    <t>0210000000</t>
  </si>
  <si>
    <t>Обласний бюджет Вінницької області</t>
  </si>
  <si>
    <t>0610000000</t>
  </si>
  <si>
    <t>Обласний бюджет Житомирської області</t>
  </si>
  <si>
    <t>1710000000</t>
  </si>
  <si>
    <t>Обласний бюджет Рівненської області</t>
  </si>
  <si>
    <t>2310000000</t>
  </si>
  <si>
    <t>Обласний бюджет Черкаської області</t>
  </si>
  <si>
    <t>Код Класифікації доходу бюджету/
Код бюджету</t>
  </si>
  <si>
    <t xml:space="preserve">Найменування трансферту/
Найменування бюджету – надавача міжбюджетного трансферту
                                                                                 </t>
  </si>
  <si>
    <t>Код Програмної класифікації видатків та кредитування місцевого бюджету/ Код бюджету</t>
  </si>
  <si>
    <t xml:space="preserve">Найменування трансферту/
Найменування бюджету – отримувача міжбюджетного трансферту
</t>
  </si>
  <si>
    <r>
      <t xml:space="preserve">на заходи програми “Програма розвитку місцевого самоврядування у Дніпропетровській області 
на 2012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2026 рокиˮ</t>
    </r>
  </si>
  <si>
    <r>
      <t xml:space="preserve"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</t>
    </r>
    <r>
      <rPr>
        <b/>
        <sz val="18"/>
        <rFont val="Calibri"/>
        <family val="2"/>
        <charset val="204"/>
      </rPr>
      <t>—</t>
    </r>
    <r>
      <rPr>
        <b/>
        <sz val="18"/>
        <rFont val="Times New Roman"/>
        <family val="1"/>
        <charset val="204"/>
      </rPr>
      <t xml:space="preserve"> 2027 роки  </t>
    </r>
  </si>
  <si>
    <t xml:space="preserve">  Міжбюджетні трансферти на 2026 рік</t>
  </si>
  <si>
    <t>Субвенція з обласного бюджету бюджетам територіальних громад на виконання доручень виборців депутатами обласної ради у 2026 році</t>
  </si>
  <si>
    <t>для удосконалення надання екстреної медичної допомоги</t>
  </si>
  <si>
    <r>
      <t xml:space="preserve">на заходи програми “Програма територіальної оборони Дніпропетровської області та забезпечення заходів мобілізації на 2022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2028 рокиˮ</t>
    </r>
  </si>
  <si>
    <t>на заходи програми “Регіональна програма забезпечення громадського порядку та громадської безпеки на території Дніпропетровської області на період до 2028 рокуˮ</t>
  </si>
  <si>
    <r>
      <t xml:space="preserve">на заходи програми “Регіональна цільова програма захисту населення і територій від надзвичайних ситуацій техногенного та природного характеру, забезпечення пожежної безпеки Дніпропетровської області на 2021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2028 рокиˮ</t>
    </r>
  </si>
  <si>
    <r>
      <t xml:space="preserve">на заходи програми “Програма впровадження державної політики органами виконавчої влади у Дніпропетровській області 
на 2016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2028 рокиˮ</t>
    </r>
  </si>
  <si>
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2028 року</t>
  </si>
  <si>
    <t>Додаткова дотація з державного бюджету на функціонування територій, на яких ведуться бойові дії</t>
  </si>
  <si>
    <t xml:space="preserve">Бюджет Яворницької селищної територіальної громади </t>
  </si>
  <si>
    <t xml:space="preserve">Бюджет Української селищної територіальної громади </t>
  </si>
  <si>
    <t>Бюджет Богинівської сільської територіальної громади</t>
  </si>
  <si>
    <t>Бюджет Самарівської міської територіальної громади</t>
  </si>
  <si>
    <t xml:space="preserve">Бюджет Святовасилівської селищної територіальної громади </t>
  </si>
  <si>
    <t xml:space="preserve">Бюджет Мозолевської сільської територіальної громади </t>
  </si>
  <si>
    <t xml:space="preserve">Бюджет Юріївської селищної територіальної громади </t>
  </si>
  <si>
    <t>Бюджет Шахтарської міської територіальної громади</t>
  </si>
  <si>
    <t xml:space="preserve">Бюджет Славгородської селищної територіальної громади </t>
  </si>
  <si>
    <t>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</si>
</sst>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1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u/>
      <sz val="18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4"/>
      <name val="Calibri"/>
      <family val="2"/>
      <charset val="204"/>
    </font>
    <font>
      <b/>
      <sz val="1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8EBD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2" fillId="0" borderId="0"/>
  </cellStyleXfs>
  <cellXfs count="119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Border="1"/>
    <xf numFmtId="4" fontId="2" fillId="0" borderId="0" xfId="0" applyNumberFormat="1" applyFont="1" applyFill="1"/>
    <xf numFmtId="0" fontId="4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8" fillId="0" borderId="0" xfId="0" applyFont="1" applyFill="1"/>
    <xf numFmtId="4" fontId="2" fillId="0" borderId="0" xfId="0" applyNumberFormat="1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9" fillId="0" borderId="0" xfId="0" applyFont="1" applyFill="1"/>
    <xf numFmtId="0" fontId="9" fillId="0" borderId="0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0" fontId="10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/>
    <xf numFmtId="3" fontId="4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/>
    <xf numFmtId="4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4" fillId="0" borderId="14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 wrapText="1"/>
    </xf>
  </cellXfs>
  <cellStyles count="5">
    <cellStyle name="Normal" xfId="4"/>
    <cellStyle name="Обычный" xfId="0" builtinId="0"/>
    <cellStyle name="Обычный 2" xfId="1"/>
    <cellStyle name="Обычный 4" xfId="2"/>
    <cellStyle name="Обычный 5" xfId="3"/>
  </cellStyles>
  <dxfs count="0"/>
  <tableStyles count="0" defaultTableStyle="TableStyleMedium2" defaultPivotStyle="PivotStyleLight16"/>
  <colors>
    <mruColors>
      <color rgb="FF8EBDCC"/>
      <color rgb="FFFFFF99"/>
      <color rgb="FF00FFFF"/>
      <color rgb="FF993366"/>
      <color rgb="FF72CED0"/>
      <color rgb="FFD75F62"/>
      <color rgb="FF990033"/>
      <color rgb="FFE5FB9D"/>
      <color rgb="FFF5F8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showZeros="0" view="pageBreakPreview" zoomScale="50" zoomScaleNormal="25" zoomScaleSheetLayoutView="50" workbookViewId="0">
      <pane xSplit="3" ySplit="13" topLeftCell="D98" activePane="bottomRight" state="frozen"/>
      <selection pane="topRight" activeCell="D1" sqref="D1"/>
      <selection pane="bottomLeft" activeCell="A13" sqref="A13"/>
      <selection pane="bottomRight" activeCell="L17" sqref="L17"/>
    </sheetView>
  </sheetViews>
  <sheetFormatPr defaultColWidth="9.140625" defaultRowHeight="18.75" x14ac:dyDescent="0.3"/>
  <cols>
    <col min="1" max="1" width="22.42578125" style="1" customWidth="1"/>
    <col min="2" max="2" width="132" style="1" customWidth="1"/>
    <col min="3" max="3" width="22.5703125" style="1" customWidth="1"/>
    <col min="4" max="4" width="27.7109375" style="1" customWidth="1"/>
    <col min="5" max="16384" width="9.140625" style="1"/>
  </cols>
  <sheetData>
    <row r="1" spans="1:4" ht="26.25" customHeight="1" x14ac:dyDescent="0.35">
      <c r="C1" s="59" t="s">
        <v>5</v>
      </c>
      <c r="D1" s="59"/>
    </row>
    <row r="2" spans="1:4" ht="27.75" customHeight="1" x14ac:dyDescent="0.35">
      <c r="C2" s="59" t="s">
        <v>120</v>
      </c>
      <c r="D2" s="59"/>
    </row>
    <row r="3" spans="1:4" ht="23.25" x14ac:dyDescent="0.35">
      <c r="C3" s="59"/>
      <c r="D3" s="59"/>
    </row>
    <row r="4" spans="1:4" ht="56.25" customHeight="1" x14ac:dyDescent="0.35">
      <c r="C4" s="46"/>
      <c r="D4" s="46"/>
    </row>
    <row r="5" spans="1:4" ht="27.75" customHeight="1" x14ac:dyDescent="0.3">
      <c r="A5" s="60" t="s">
        <v>227</v>
      </c>
      <c r="B5" s="60"/>
      <c r="C5" s="60"/>
      <c r="D5" s="60"/>
    </row>
    <row r="6" spans="1:4" ht="33" customHeight="1" x14ac:dyDescent="0.35">
      <c r="A6" s="13"/>
      <c r="B6" s="66" t="s">
        <v>92</v>
      </c>
      <c r="C6" s="66"/>
      <c r="D6" s="13"/>
    </row>
    <row r="7" spans="1:4" ht="23.25" x14ac:dyDescent="0.35">
      <c r="A7" s="13"/>
      <c r="B7" s="67" t="s">
        <v>3</v>
      </c>
      <c r="C7" s="67"/>
      <c r="D7" s="13"/>
    </row>
    <row r="8" spans="1:4" ht="29.25" customHeight="1" x14ac:dyDescent="0.3">
      <c r="A8" s="61" t="s">
        <v>76</v>
      </c>
      <c r="B8" s="61"/>
      <c r="C8" s="61"/>
      <c r="D8" s="61"/>
    </row>
    <row r="9" spans="1:4" ht="23.25" x14ac:dyDescent="0.3">
      <c r="A9" s="47"/>
      <c r="B9" s="47"/>
      <c r="C9" s="47"/>
      <c r="D9" s="14" t="s">
        <v>84</v>
      </c>
    </row>
    <row r="10" spans="1:4" s="2" customFormat="1" x14ac:dyDescent="0.3">
      <c r="A10" s="62" t="s">
        <v>221</v>
      </c>
      <c r="B10" s="62" t="s">
        <v>222</v>
      </c>
      <c r="C10" s="62"/>
      <c r="D10" s="62" t="s">
        <v>68</v>
      </c>
    </row>
    <row r="11" spans="1:4" s="2" customFormat="1" x14ac:dyDescent="0.3">
      <c r="A11" s="62"/>
      <c r="B11" s="62"/>
      <c r="C11" s="62"/>
      <c r="D11" s="62"/>
    </row>
    <row r="12" spans="1:4" s="2" customFormat="1" ht="78.75" customHeight="1" x14ac:dyDescent="0.3">
      <c r="A12" s="62"/>
      <c r="B12" s="62"/>
      <c r="C12" s="62"/>
      <c r="D12" s="62"/>
    </row>
    <row r="13" spans="1:4" s="3" customFormat="1" ht="30.75" customHeight="1" x14ac:dyDescent="0.3">
      <c r="A13" s="48">
        <v>1</v>
      </c>
      <c r="B13" s="62">
        <v>2</v>
      </c>
      <c r="C13" s="62"/>
      <c r="D13" s="48">
        <v>3</v>
      </c>
    </row>
    <row r="14" spans="1:4" s="3" customFormat="1" ht="39.950000000000003" customHeight="1" x14ac:dyDescent="0.3">
      <c r="A14" s="63" t="s">
        <v>77</v>
      </c>
      <c r="B14" s="64"/>
      <c r="C14" s="64"/>
      <c r="D14" s="65"/>
    </row>
    <row r="15" spans="1:4" s="3" customFormat="1" ht="64.5" customHeight="1" x14ac:dyDescent="0.3">
      <c r="A15" s="45"/>
      <c r="B15" s="52" t="s">
        <v>235</v>
      </c>
      <c r="C15" s="52"/>
      <c r="D15" s="22">
        <f>D16</f>
        <v>26734200</v>
      </c>
    </row>
    <row r="16" spans="1:4" s="3" customFormat="1" ht="31.5" customHeight="1" x14ac:dyDescent="0.3">
      <c r="A16" s="43">
        <v>9900000000</v>
      </c>
      <c r="B16" s="53" t="s">
        <v>1</v>
      </c>
      <c r="C16" s="54"/>
      <c r="D16" s="23">
        <v>26734200</v>
      </c>
    </row>
    <row r="17" spans="1:5" s="3" customFormat="1" ht="66" customHeight="1" x14ac:dyDescent="0.3">
      <c r="A17" s="45">
        <v>41033000</v>
      </c>
      <c r="B17" s="52" t="s">
        <v>83</v>
      </c>
      <c r="C17" s="52"/>
      <c r="D17" s="22">
        <f>D18</f>
        <v>121962600</v>
      </c>
    </row>
    <row r="18" spans="1:5" s="3" customFormat="1" ht="33" customHeight="1" x14ac:dyDescent="0.3">
      <c r="A18" s="43">
        <v>9900000000</v>
      </c>
      <c r="B18" s="53" t="s">
        <v>1</v>
      </c>
      <c r="C18" s="54"/>
      <c r="D18" s="23">
        <f>121962600</f>
        <v>121962600</v>
      </c>
    </row>
    <row r="19" spans="1:5" s="3" customFormat="1" ht="102.75" customHeight="1" x14ac:dyDescent="0.3">
      <c r="A19" s="45">
        <v>41034400</v>
      </c>
      <c r="B19" s="57" t="s">
        <v>91</v>
      </c>
      <c r="C19" s="58"/>
      <c r="D19" s="22">
        <f>D20</f>
        <v>9574500</v>
      </c>
    </row>
    <row r="20" spans="1:5" s="3" customFormat="1" ht="33" customHeight="1" x14ac:dyDescent="0.3">
      <c r="A20" s="43">
        <v>9900000000</v>
      </c>
      <c r="B20" s="53" t="s">
        <v>1</v>
      </c>
      <c r="C20" s="54"/>
      <c r="D20" s="23">
        <f>9574500</f>
        <v>9574500</v>
      </c>
    </row>
    <row r="21" spans="1:5" s="3" customFormat="1" ht="33" customHeight="1" x14ac:dyDescent="0.3">
      <c r="A21" s="45">
        <v>41053900</v>
      </c>
      <c r="B21" s="57" t="s">
        <v>94</v>
      </c>
      <c r="C21" s="58"/>
      <c r="D21" s="22">
        <f>D23+D25+D32+D99</f>
        <v>13221300</v>
      </c>
    </row>
    <row r="22" spans="1:5" s="3" customFormat="1" ht="33" customHeight="1" x14ac:dyDescent="0.3">
      <c r="A22" s="43"/>
      <c r="B22" s="53" t="s">
        <v>95</v>
      </c>
      <c r="C22" s="54"/>
      <c r="D22" s="23"/>
    </row>
    <row r="23" spans="1:5" s="3" customFormat="1" ht="33.75" customHeight="1" x14ac:dyDescent="0.3">
      <c r="A23" s="43"/>
      <c r="B23" s="57" t="s">
        <v>102</v>
      </c>
      <c r="C23" s="58"/>
      <c r="D23" s="22">
        <f>D24</f>
        <v>9000000</v>
      </c>
    </row>
    <row r="24" spans="1:5" s="3" customFormat="1" ht="33.75" customHeight="1" x14ac:dyDescent="0.3">
      <c r="A24" s="44" t="s">
        <v>103</v>
      </c>
      <c r="B24" s="53" t="s">
        <v>18</v>
      </c>
      <c r="C24" s="54"/>
      <c r="D24" s="23">
        <f>9000000</f>
        <v>9000000</v>
      </c>
    </row>
    <row r="25" spans="1:5" s="3" customFormat="1" ht="33.75" customHeight="1" x14ac:dyDescent="0.3">
      <c r="A25" s="44"/>
      <c r="B25" s="52" t="s">
        <v>229</v>
      </c>
      <c r="C25" s="52"/>
      <c r="D25" s="22">
        <f>SUM(D26:D31)</f>
        <v>273000</v>
      </c>
      <c r="E25" s="51"/>
    </row>
    <row r="26" spans="1:5" s="3" customFormat="1" ht="33.950000000000003" customHeight="1" x14ac:dyDescent="0.3">
      <c r="A26" s="37" t="s">
        <v>162</v>
      </c>
      <c r="B26" s="53" t="s">
        <v>31</v>
      </c>
      <c r="C26" s="54"/>
      <c r="D26" s="23">
        <f>100000</f>
        <v>100000</v>
      </c>
    </row>
    <row r="27" spans="1:5" s="3" customFormat="1" ht="33.75" customHeight="1" x14ac:dyDescent="0.3">
      <c r="A27" s="37" t="s">
        <v>134</v>
      </c>
      <c r="B27" s="53" t="s">
        <v>132</v>
      </c>
      <c r="C27" s="54"/>
      <c r="D27" s="23">
        <f>30000</f>
        <v>30000</v>
      </c>
    </row>
    <row r="28" spans="1:5" s="3" customFormat="1" ht="33.75" customHeight="1" x14ac:dyDescent="0.3">
      <c r="A28" s="44" t="s">
        <v>138</v>
      </c>
      <c r="B28" s="53" t="s">
        <v>50</v>
      </c>
      <c r="C28" s="54"/>
      <c r="D28" s="23">
        <f>34000</f>
        <v>34000</v>
      </c>
    </row>
    <row r="29" spans="1:5" s="3" customFormat="1" ht="33.75" customHeight="1" x14ac:dyDescent="0.3">
      <c r="A29" s="44" t="s">
        <v>139</v>
      </c>
      <c r="B29" s="53" t="s">
        <v>62</v>
      </c>
      <c r="C29" s="54"/>
      <c r="D29" s="23">
        <f>33000</f>
        <v>33000</v>
      </c>
    </row>
    <row r="30" spans="1:5" s="3" customFormat="1" ht="33.75" customHeight="1" x14ac:dyDescent="0.3">
      <c r="A30" s="44" t="s">
        <v>142</v>
      </c>
      <c r="B30" s="53" t="s">
        <v>34</v>
      </c>
      <c r="C30" s="54"/>
      <c r="D30" s="23">
        <f>34000</f>
        <v>34000</v>
      </c>
    </row>
    <row r="31" spans="1:5" s="3" customFormat="1" ht="33.75" customHeight="1" x14ac:dyDescent="0.3">
      <c r="A31" s="37" t="s">
        <v>146</v>
      </c>
      <c r="B31" s="55" t="s">
        <v>21</v>
      </c>
      <c r="C31" s="56"/>
      <c r="D31" s="23">
        <f>42000</f>
        <v>42000</v>
      </c>
    </row>
    <row r="32" spans="1:5" s="3" customFormat="1" ht="68.25" customHeight="1" x14ac:dyDescent="0.3">
      <c r="A32" s="43"/>
      <c r="B32" s="57" t="s">
        <v>226</v>
      </c>
      <c r="C32" s="58"/>
      <c r="D32" s="22">
        <f>SUM(D33:D98)</f>
        <v>2948300</v>
      </c>
    </row>
    <row r="33" spans="1:4" s="3" customFormat="1" ht="33.950000000000003" customHeight="1" x14ac:dyDescent="0.3">
      <c r="A33" s="44" t="s">
        <v>154</v>
      </c>
      <c r="B33" s="53" t="s">
        <v>14</v>
      </c>
      <c r="C33" s="54"/>
      <c r="D33" s="23">
        <f>70100</f>
        <v>70100</v>
      </c>
    </row>
    <row r="34" spans="1:4" s="3" customFormat="1" ht="33.75" customHeight="1" x14ac:dyDescent="0.3">
      <c r="A34" s="44" t="s">
        <v>155</v>
      </c>
      <c r="B34" s="55" t="s">
        <v>17</v>
      </c>
      <c r="C34" s="56"/>
      <c r="D34" s="23">
        <f>130500</f>
        <v>130500</v>
      </c>
    </row>
    <row r="35" spans="1:4" s="3" customFormat="1" ht="37.5" customHeight="1" x14ac:dyDescent="0.3">
      <c r="A35" s="37" t="s">
        <v>157</v>
      </c>
      <c r="B35" s="55" t="s">
        <v>22</v>
      </c>
      <c r="C35" s="56"/>
      <c r="D35" s="23">
        <f>304300</f>
        <v>304300</v>
      </c>
    </row>
    <row r="36" spans="1:4" s="3" customFormat="1" ht="33.75" customHeight="1" x14ac:dyDescent="0.3">
      <c r="A36" s="37" t="s">
        <v>158</v>
      </c>
      <c r="B36" s="53" t="s">
        <v>29</v>
      </c>
      <c r="C36" s="54"/>
      <c r="D36" s="23">
        <f>130000</f>
        <v>130000</v>
      </c>
    </row>
    <row r="37" spans="1:4" s="3" customFormat="1" ht="33.75" customHeight="1" x14ac:dyDescent="0.3">
      <c r="A37" s="44" t="s">
        <v>156</v>
      </c>
      <c r="B37" s="53" t="s">
        <v>239</v>
      </c>
      <c r="C37" s="54"/>
      <c r="D37" s="23">
        <v>209600</v>
      </c>
    </row>
    <row r="38" spans="1:4" s="3" customFormat="1" ht="37.5" customHeight="1" x14ac:dyDescent="0.3">
      <c r="A38" s="37" t="s">
        <v>159</v>
      </c>
      <c r="B38" s="53" t="s">
        <v>26</v>
      </c>
      <c r="C38" s="54"/>
      <c r="D38" s="23">
        <f>89000</f>
        <v>89000</v>
      </c>
    </row>
    <row r="39" spans="1:4" s="3" customFormat="1" ht="37.5" customHeight="1" x14ac:dyDescent="0.3">
      <c r="A39" s="37" t="s">
        <v>160</v>
      </c>
      <c r="B39" s="53" t="s">
        <v>27</v>
      </c>
      <c r="C39" s="54"/>
      <c r="D39" s="23">
        <f>80900</f>
        <v>80900</v>
      </c>
    </row>
    <row r="40" spans="1:4" s="3" customFormat="1" ht="33.75" customHeight="1" x14ac:dyDescent="0.3">
      <c r="A40" s="44" t="s">
        <v>161</v>
      </c>
      <c r="B40" s="53" t="s">
        <v>30</v>
      </c>
      <c r="C40" s="54"/>
      <c r="D40" s="23">
        <f>65500</f>
        <v>65500</v>
      </c>
    </row>
    <row r="41" spans="1:4" s="3" customFormat="1" ht="33.950000000000003" customHeight="1" x14ac:dyDescent="0.3">
      <c r="A41" s="37" t="s">
        <v>162</v>
      </c>
      <c r="B41" s="53" t="s">
        <v>31</v>
      </c>
      <c r="C41" s="54"/>
      <c r="D41" s="23">
        <f>28700</f>
        <v>28700</v>
      </c>
    </row>
    <row r="42" spans="1:4" s="3" customFormat="1" ht="33.950000000000003" customHeight="1" x14ac:dyDescent="0.3">
      <c r="A42" s="37" t="s">
        <v>163</v>
      </c>
      <c r="B42" s="53" t="s">
        <v>32</v>
      </c>
      <c r="C42" s="54"/>
      <c r="D42" s="23">
        <v>31300</v>
      </c>
    </row>
    <row r="43" spans="1:4" s="3" customFormat="1" ht="33.75" customHeight="1" x14ac:dyDescent="0.3">
      <c r="A43" s="37" t="s">
        <v>164</v>
      </c>
      <c r="B43" s="53" t="s">
        <v>238</v>
      </c>
      <c r="C43" s="54"/>
      <c r="D43" s="23">
        <f>11400</f>
        <v>11400</v>
      </c>
    </row>
    <row r="44" spans="1:4" s="3" customFormat="1" ht="33.75" customHeight="1" x14ac:dyDescent="0.3">
      <c r="A44" s="37" t="s">
        <v>134</v>
      </c>
      <c r="B44" s="53" t="s">
        <v>132</v>
      </c>
      <c r="C44" s="54"/>
      <c r="D44" s="23">
        <f>8300</f>
        <v>8300</v>
      </c>
    </row>
    <row r="45" spans="1:4" s="3" customFormat="1" ht="33.75" customHeight="1" x14ac:dyDescent="0.3">
      <c r="A45" s="37" t="s">
        <v>165</v>
      </c>
      <c r="B45" s="53" t="s">
        <v>41</v>
      </c>
      <c r="C45" s="54"/>
      <c r="D45" s="23">
        <f>64700</f>
        <v>64700</v>
      </c>
    </row>
    <row r="46" spans="1:4" s="3" customFormat="1" ht="33.950000000000003" customHeight="1" x14ac:dyDescent="0.3">
      <c r="A46" s="44" t="s">
        <v>135</v>
      </c>
      <c r="B46" s="53" t="s">
        <v>33</v>
      </c>
      <c r="C46" s="54"/>
      <c r="D46" s="23">
        <f>23800</f>
        <v>23800</v>
      </c>
    </row>
    <row r="47" spans="1:4" s="3" customFormat="1" ht="33.950000000000003" customHeight="1" x14ac:dyDescent="0.3">
      <c r="A47" s="44" t="s">
        <v>166</v>
      </c>
      <c r="B47" s="53" t="s">
        <v>93</v>
      </c>
      <c r="C47" s="54"/>
      <c r="D47" s="23">
        <f>36000</f>
        <v>36000</v>
      </c>
    </row>
    <row r="48" spans="1:4" s="3" customFormat="1" ht="33.75" customHeight="1" x14ac:dyDescent="0.3">
      <c r="A48" s="44" t="s">
        <v>96</v>
      </c>
      <c r="B48" s="53" t="s">
        <v>52</v>
      </c>
      <c r="C48" s="54"/>
      <c r="D48" s="23">
        <f>110700</f>
        <v>110700</v>
      </c>
    </row>
    <row r="49" spans="1:4" s="3" customFormat="1" ht="33.75" customHeight="1" x14ac:dyDescent="0.3">
      <c r="A49" s="44" t="s">
        <v>136</v>
      </c>
      <c r="B49" s="53" t="s">
        <v>42</v>
      </c>
      <c r="C49" s="54"/>
      <c r="D49" s="23">
        <f>13100</f>
        <v>13100</v>
      </c>
    </row>
    <row r="50" spans="1:4" s="3" customFormat="1" ht="33.950000000000003" customHeight="1" x14ac:dyDescent="0.3">
      <c r="A50" s="44" t="s">
        <v>137</v>
      </c>
      <c r="B50" s="53" t="s">
        <v>7</v>
      </c>
      <c r="C50" s="54"/>
      <c r="D50" s="23">
        <f>22500</f>
        <v>22500</v>
      </c>
    </row>
    <row r="51" spans="1:4" s="3" customFormat="1" ht="33.950000000000003" customHeight="1" x14ac:dyDescent="0.3">
      <c r="A51" s="44" t="s">
        <v>138</v>
      </c>
      <c r="B51" s="53" t="s">
        <v>50</v>
      </c>
      <c r="C51" s="54"/>
      <c r="D51" s="23">
        <f>14480</f>
        <v>14480</v>
      </c>
    </row>
    <row r="52" spans="1:4" s="3" customFormat="1" ht="33.75" customHeight="1" x14ac:dyDescent="0.3">
      <c r="A52" s="44" t="s">
        <v>167</v>
      </c>
      <c r="B52" s="53" t="s">
        <v>15</v>
      </c>
      <c r="C52" s="54"/>
      <c r="D52" s="23">
        <f>53700</f>
        <v>53700</v>
      </c>
    </row>
    <row r="53" spans="1:4" s="3" customFormat="1" ht="33.950000000000003" customHeight="1" x14ac:dyDescent="0.3">
      <c r="A53" s="44" t="s">
        <v>139</v>
      </c>
      <c r="B53" s="53" t="s">
        <v>62</v>
      </c>
      <c r="C53" s="54"/>
      <c r="D53" s="23">
        <f>15400</f>
        <v>15400</v>
      </c>
    </row>
    <row r="54" spans="1:4" s="3" customFormat="1" ht="33.75" customHeight="1" x14ac:dyDescent="0.3">
      <c r="A54" s="44" t="s">
        <v>168</v>
      </c>
      <c r="B54" s="53" t="s">
        <v>6</v>
      </c>
      <c r="C54" s="54"/>
      <c r="D54" s="23">
        <f>25600</f>
        <v>25600</v>
      </c>
    </row>
    <row r="55" spans="1:4" s="3" customFormat="1" ht="33.75" customHeight="1" x14ac:dyDescent="0.3">
      <c r="A55" s="44" t="s">
        <v>140</v>
      </c>
      <c r="B55" s="53" t="s">
        <v>141</v>
      </c>
      <c r="C55" s="54"/>
      <c r="D55" s="23">
        <f>13000</f>
        <v>13000</v>
      </c>
    </row>
    <row r="56" spans="1:4" s="3" customFormat="1" ht="33.950000000000003" customHeight="1" x14ac:dyDescent="0.3">
      <c r="A56" s="44" t="s">
        <v>169</v>
      </c>
      <c r="B56" s="53" t="s">
        <v>8</v>
      </c>
      <c r="C56" s="54"/>
      <c r="D56" s="23">
        <f>11400</f>
        <v>11400</v>
      </c>
    </row>
    <row r="57" spans="1:4" s="3" customFormat="1" ht="33.950000000000003" customHeight="1" x14ac:dyDescent="0.3">
      <c r="A57" s="44" t="s">
        <v>143</v>
      </c>
      <c r="B57" s="53" t="s">
        <v>58</v>
      </c>
      <c r="C57" s="54"/>
      <c r="D57" s="23">
        <f>15800</f>
        <v>15800</v>
      </c>
    </row>
    <row r="58" spans="1:4" s="3" customFormat="1" ht="33.950000000000003" customHeight="1" x14ac:dyDescent="0.3">
      <c r="A58" s="44" t="s">
        <v>171</v>
      </c>
      <c r="B58" s="53" t="s">
        <v>172</v>
      </c>
      <c r="C58" s="54"/>
      <c r="D58" s="23">
        <f>9500</f>
        <v>9500</v>
      </c>
    </row>
    <row r="59" spans="1:4" s="3" customFormat="1" ht="33.950000000000003" customHeight="1" x14ac:dyDescent="0.3">
      <c r="A59" s="44" t="s">
        <v>173</v>
      </c>
      <c r="B59" s="53" t="s">
        <v>43</v>
      </c>
      <c r="C59" s="54"/>
      <c r="D59" s="23">
        <f>56100</f>
        <v>56100</v>
      </c>
    </row>
    <row r="60" spans="1:4" s="3" customFormat="1" ht="33.950000000000003" customHeight="1" x14ac:dyDescent="0.3">
      <c r="A60" s="44" t="s">
        <v>152</v>
      </c>
      <c r="B60" s="53" t="s">
        <v>153</v>
      </c>
      <c r="C60" s="54"/>
      <c r="D60" s="23">
        <f>14100</f>
        <v>14100</v>
      </c>
    </row>
    <row r="61" spans="1:4" s="3" customFormat="1" ht="33.950000000000003" customHeight="1" x14ac:dyDescent="0.3">
      <c r="A61" s="44" t="s">
        <v>144</v>
      </c>
      <c r="B61" s="53" t="s">
        <v>63</v>
      </c>
      <c r="C61" s="54"/>
      <c r="D61" s="23">
        <f>15000</f>
        <v>15000</v>
      </c>
    </row>
    <row r="62" spans="1:4" s="3" customFormat="1" ht="33.950000000000003" customHeight="1" x14ac:dyDescent="0.3">
      <c r="A62" s="44" t="s">
        <v>145</v>
      </c>
      <c r="B62" s="53" t="s">
        <v>19</v>
      </c>
      <c r="C62" s="54"/>
      <c r="D62" s="23">
        <f>55400</f>
        <v>55400</v>
      </c>
    </row>
    <row r="63" spans="1:4" s="3" customFormat="1" ht="33.950000000000003" customHeight="1" x14ac:dyDescent="0.3">
      <c r="A63" s="44" t="s">
        <v>174</v>
      </c>
      <c r="B63" s="53" t="s">
        <v>60</v>
      </c>
      <c r="C63" s="54"/>
      <c r="D63" s="23">
        <f>10700</f>
        <v>10700</v>
      </c>
    </row>
    <row r="64" spans="1:4" s="3" customFormat="1" ht="33.75" customHeight="1" x14ac:dyDescent="0.3">
      <c r="A64" s="37" t="s">
        <v>175</v>
      </c>
      <c r="B64" s="55" t="s">
        <v>176</v>
      </c>
      <c r="C64" s="56"/>
      <c r="D64" s="23">
        <f>6100</f>
        <v>6100</v>
      </c>
    </row>
    <row r="65" spans="1:4" s="3" customFormat="1" ht="33.75" customHeight="1" x14ac:dyDescent="0.3">
      <c r="A65" s="37" t="s">
        <v>177</v>
      </c>
      <c r="B65" s="55" t="s">
        <v>9</v>
      </c>
      <c r="C65" s="56"/>
      <c r="D65" s="23">
        <f>63500</f>
        <v>63500</v>
      </c>
    </row>
    <row r="66" spans="1:4" s="3" customFormat="1" ht="33.75" customHeight="1" x14ac:dyDescent="0.3">
      <c r="A66" s="37" t="s">
        <v>178</v>
      </c>
      <c r="B66" s="55" t="s">
        <v>66</v>
      </c>
      <c r="C66" s="56"/>
      <c r="D66" s="23">
        <f>20000</f>
        <v>20000</v>
      </c>
    </row>
    <row r="67" spans="1:4" s="3" customFormat="1" ht="33.75" customHeight="1" x14ac:dyDescent="0.3">
      <c r="A67" s="37" t="s">
        <v>179</v>
      </c>
      <c r="B67" s="55" t="s">
        <v>79</v>
      </c>
      <c r="C67" s="56"/>
      <c r="D67" s="23">
        <f>28600</f>
        <v>28600</v>
      </c>
    </row>
    <row r="68" spans="1:4" s="3" customFormat="1" ht="33.950000000000003" customHeight="1" x14ac:dyDescent="0.3">
      <c r="A68" s="37" t="s">
        <v>180</v>
      </c>
      <c r="B68" s="55" t="s">
        <v>36</v>
      </c>
      <c r="C68" s="56"/>
      <c r="D68" s="23">
        <f>17700</f>
        <v>17700</v>
      </c>
    </row>
    <row r="69" spans="1:4" s="3" customFormat="1" ht="33.950000000000003" customHeight="1" x14ac:dyDescent="0.3">
      <c r="A69" s="37" t="s">
        <v>187</v>
      </c>
      <c r="B69" s="55" t="s">
        <v>241</v>
      </c>
      <c r="C69" s="56"/>
      <c r="D69" s="23">
        <f>36300</f>
        <v>36300</v>
      </c>
    </row>
    <row r="70" spans="1:4" s="3" customFormat="1" ht="33.950000000000003" customHeight="1" x14ac:dyDescent="0.3">
      <c r="A70" s="37" t="s">
        <v>181</v>
      </c>
      <c r="B70" s="55" t="s">
        <v>182</v>
      </c>
      <c r="C70" s="56"/>
      <c r="D70" s="23">
        <f>13600</f>
        <v>13600</v>
      </c>
    </row>
    <row r="71" spans="1:4" s="3" customFormat="1" ht="33.950000000000003" customHeight="1" x14ac:dyDescent="0.3">
      <c r="A71" s="37" t="s">
        <v>183</v>
      </c>
      <c r="B71" s="55" t="s">
        <v>133</v>
      </c>
      <c r="C71" s="56"/>
      <c r="D71" s="23">
        <f>7400</f>
        <v>7400</v>
      </c>
    </row>
    <row r="72" spans="1:4" s="3" customFormat="1" ht="33.75" customHeight="1" x14ac:dyDescent="0.3">
      <c r="A72" s="37" t="s">
        <v>147</v>
      </c>
      <c r="B72" s="55" t="s">
        <v>67</v>
      </c>
      <c r="C72" s="56"/>
      <c r="D72" s="23">
        <f>31500</f>
        <v>31500</v>
      </c>
    </row>
    <row r="73" spans="1:4" s="3" customFormat="1" ht="33.75" customHeight="1" x14ac:dyDescent="0.3">
      <c r="A73" s="37" t="s">
        <v>146</v>
      </c>
      <c r="B73" s="55" t="s">
        <v>21</v>
      </c>
      <c r="C73" s="56"/>
      <c r="D73" s="23">
        <f>50000</f>
        <v>50000</v>
      </c>
    </row>
    <row r="74" spans="1:4" s="3" customFormat="1" ht="33.75" customHeight="1" x14ac:dyDescent="0.3">
      <c r="A74" s="37" t="s">
        <v>184</v>
      </c>
      <c r="B74" s="55" t="s">
        <v>37</v>
      </c>
      <c r="C74" s="56"/>
      <c r="D74" s="23">
        <f>23100</f>
        <v>23100</v>
      </c>
    </row>
    <row r="75" spans="1:4" s="3" customFormat="1" ht="33.75" customHeight="1" x14ac:dyDescent="0.3">
      <c r="A75" s="37" t="s">
        <v>185</v>
      </c>
      <c r="B75" s="55" t="s">
        <v>10</v>
      </c>
      <c r="C75" s="56"/>
      <c r="D75" s="23">
        <f>35100</f>
        <v>35100</v>
      </c>
    </row>
    <row r="76" spans="1:4" s="3" customFormat="1" ht="33.950000000000003" customHeight="1" x14ac:dyDescent="0.3">
      <c r="A76" s="37" t="s">
        <v>186</v>
      </c>
      <c r="B76" s="55" t="s">
        <v>64</v>
      </c>
      <c r="C76" s="56"/>
      <c r="D76" s="23">
        <f>62000</f>
        <v>62000</v>
      </c>
    </row>
    <row r="77" spans="1:4" s="3" customFormat="1" ht="33.75" customHeight="1" x14ac:dyDescent="0.3">
      <c r="A77" s="37" t="s">
        <v>188</v>
      </c>
      <c r="B77" s="55" t="s">
        <v>56</v>
      </c>
      <c r="C77" s="56"/>
      <c r="D77" s="23">
        <f>70000</f>
        <v>70000</v>
      </c>
    </row>
    <row r="78" spans="1:4" s="3" customFormat="1" ht="33.950000000000003" customHeight="1" x14ac:dyDescent="0.3">
      <c r="A78" s="37" t="s">
        <v>189</v>
      </c>
      <c r="B78" s="55" t="s">
        <v>23</v>
      </c>
      <c r="C78" s="56"/>
      <c r="D78" s="23">
        <f>25000</f>
        <v>25000</v>
      </c>
    </row>
    <row r="79" spans="1:4" s="3" customFormat="1" ht="33.950000000000003" customHeight="1" x14ac:dyDescent="0.3">
      <c r="A79" s="37" t="s">
        <v>148</v>
      </c>
      <c r="B79" s="55" t="s">
        <v>12</v>
      </c>
      <c r="C79" s="56"/>
      <c r="D79" s="23">
        <f>69400</f>
        <v>69400</v>
      </c>
    </row>
    <row r="80" spans="1:4" s="3" customFormat="1" ht="33.950000000000003" customHeight="1" x14ac:dyDescent="0.3">
      <c r="A80" s="37" t="s">
        <v>190</v>
      </c>
      <c r="B80" s="55" t="s">
        <v>65</v>
      </c>
      <c r="C80" s="56"/>
      <c r="D80" s="23">
        <f>60000</f>
        <v>60000</v>
      </c>
    </row>
    <row r="81" spans="1:4" s="3" customFormat="1" ht="33.75" customHeight="1" x14ac:dyDescent="0.3">
      <c r="A81" s="37" t="s">
        <v>191</v>
      </c>
      <c r="B81" s="55" t="s">
        <v>25</v>
      </c>
      <c r="C81" s="56"/>
      <c r="D81" s="23">
        <f>76100</f>
        <v>76100</v>
      </c>
    </row>
    <row r="82" spans="1:4" s="3" customFormat="1" ht="33.950000000000003" customHeight="1" x14ac:dyDescent="0.3">
      <c r="A82" s="37" t="s">
        <v>208</v>
      </c>
      <c r="B82" s="55" t="s">
        <v>57</v>
      </c>
      <c r="C82" s="56"/>
      <c r="D82" s="23">
        <f>30800</f>
        <v>30800</v>
      </c>
    </row>
    <row r="83" spans="1:4" s="3" customFormat="1" ht="33.950000000000003" customHeight="1" x14ac:dyDescent="0.3">
      <c r="A83" s="37" t="s">
        <v>192</v>
      </c>
      <c r="B83" s="55" t="s">
        <v>45</v>
      </c>
      <c r="C83" s="56"/>
      <c r="D83" s="23">
        <f>9870</f>
        <v>9870</v>
      </c>
    </row>
    <row r="84" spans="1:4" s="3" customFormat="1" ht="33.950000000000003" customHeight="1" x14ac:dyDescent="0.3">
      <c r="A84" s="37" t="s">
        <v>193</v>
      </c>
      <c r="B84" s="55" t="s">
        <v>61</v>
      </c>
      <c r="C84" s="56"/>
      <c r="D84" s="23">
        <f>22550</f>
        <v>22550</v>
      </c>
    </row>
    <row r="85" spans="1:4" s="3" customFormat="1" ht="33.950000000000003" customHeight="1" x14ac:dyDescent="0.3">
      <c r="A85" s="37" t="s">
        <v>194</v>
      </c>
      <c r="B85" s="55" t="s">
        <v>240</v>
      </c>
      <c r="C85" s="56"/>
      <c r="D85" s="23">
        <f>14800</f>
        <v>14800</v>
      </c>
    </row>
    <row r="86" spans="1:4" s="3" customFormat="1" ht="33.950000000000003" customHeight="1" x14ac:dyDescent="0.3">
      <c r="A86" s="37" t="s">
        <v>195</v>
      </c>
      <c r="B86" s="55" t="s">
        <v>39</v>
      </c>
      <c r="C86" s="56"/>
      <c r="D86" s="23">
        <f>71600</f>
        <v>71600</v>
      </c>
    </row>
    <row r="87" spans="1:4" s="3" customFormat="1" ht="33.950000000000003" customHeight="1" x14ac:dyDescent="0.3">
      <c r="A87" s="37" t="s">
        <v>149</v>
      </c>
      <c r="B87" s="55" t="s">
        <v>38</v>
      </c>
      <c r="C87" s="56"/>
      <c r="D87" s="23">
        <f>71300</f>
        <v>71300</v>
      </c>
    </row>
    <row r="88" spans="1:4" s="3" customFormat="1" ht="33.950000000000003" customHeight="1" x14ac:dyDescent="0.3">
      <c r="A88" s="37" t="s">
        <v>196</v>
      </c>
      <c r="B88" s="55" t="s">
        <v>46</v>
      </c>
      <c r="C88" s="56"/>
      <c r="D88" s="23">
        <f>35500</f>
        <v>35500</v>
      </c>
    </row>
    <row r="89" spans="1:4" s="3" customFormat="1" ht="33.950000000000003" customHeight="1" x14ac:dyDescent="0.3">
      <c r="A89" s="37" t="s">
        <v>197</v>
      </c>
      <c r="B89" s="55" t="s">
        <v>198</v>
      </c>
      <c r="C89" s="56"/>
      <c r="D89" s="23">
        <f>17100</f>
        <v>17100</v>
      </c>
    </row>
    <row r="90" spans="1:4" s="3" customFormat="1" ht="33.75" customHeight="1" x14ac:dyDescent="0.3">
      <c r="A90" s="37" t="s">
        <v>199</v>
      </c>
      <c r="B90" s="55" t="s">
        <v>47</v>
      </c>
      <c r="C90" s="56"/>
      <c r="D90" s="23">
        <f>42600</f>
        <v>42600</v>
      </c>
    </row>
    <row r="91" spans="1:4" s="3" customFormat="1" ht="33.950000000000003" customHeight="1" x14ac:dyDescent="0.3">
      <c r="A91" s="37" t="s">
        <v>150</v>
      </c>
      <c r="B91" s="55" t="s">
        <v>55</v>
      </c>
      <c r="C91" s="56"/>
      <c r="D91" s="23">
        <f>10200</f>
        <v>10200</v>
      </c>
    </row>
    <row r="92" spans="1:4" s="3" customFormat="1" ht="33.75" customHeight="1" x14ac:dyDescent="0.3">
      <c r="A92" s="37" t="s">
        <v>200</v>
      </c>
      <c r="B92" s="55" t="s">
        <v>237</v>
      </c>
      <c r="C92" s="56"/>
      <c r="D92" s="23">
        <f>7400</f>
        <v>7400</v>
      </c>
    </row>
    <row r="93" spans="1:4" s="3" customFormat="1" ht="33.950000000000003" customHeight="1" x14ac:dyDescent="0.3">
      <c r="A93" s="37" t="s">
        <v>201</v>
      </c>
      <c r="B93" s="55" t="s">
        <v>48</v>
      </c>
      <c r="C93" s="56"/>
      <c r="D93" s="23">
        <f>42700</f>
        <v>42700</v>
      </c>
    </row>
    <row r="94" spans="1:4" s="3" customFormat="1" ht="33.950000000000003" customHeight="1" x14ac:dyDescent="0.3">
      <c r="A94" s="37" t="s">
        <v>202</v>
      </c>
      <c r="B94" s="55" t="s">
        <v>11</v>
      </c>
      <c r="C94" s="56"/>
      <c r="D94" s="23">
        <f>14000</f>
        <v>14000</v>
      </c>
    </row>
    <row r="95" spans="1:4" s="3" customFormat="1" ht="33.950000000000003" customHeight="1" x14ac:dyDescent="0.3">
      <c r="A95" s="37" t="s">
        <v>203</v>
      </c>
      <c r="B95" s="55" t="s">
        <v>204</v>
      </c>
      <c r="C95" s="56"/>
      <c r="D95" s="23">
        <f>13600</f>
        <v>13600</v>
      </c>
    </row>
    <row r="96" spans="1:4" s="3" customFormat="1" ht="33.75" customHeight="1" x14ac:dyDescent="0.3">
      <c r="A96" s="37" t="s">
        <v>151</v>
      </c>
      <c r="B96" s="55" t="s">
        <v>59</v>
      </c>
      <c r="C96" s="56"/>
      <c r="D96" s="23">
        <f>37500</f>
        <v>37500</v>
      </c>
    </row>
    <row r="97" spans="1:4" s="3" customFormat="1" ht="33.75" customHeight="1" x14ac:dyDescent="0.3">
      <c r="A97" s="37" t="s">
        <v>205</v>
      </c>
      <c r="B97" s="55" t="s">
        <v>242</v>
      </c>
      <c r="C97" s="56"/>
      <c r="D97" s="23">
        <f>32500</f>
        <v>32500</v>
      </c>
    </row>
    <row r="98" spans="1:4" s="3" customFormat="1" ht="33.950000000000003" customHeight="1" x14ac:dyDescent="0.3">
      <c r="A98" s="44" t="s">
        <v>170</v>
      </c>
      <c r="B98" s="53" t="s">
        <v>236</v>
      </c>
      <c r="C98" s="54"/>
      <c r="D98" s="23">
        <f>38300</f>
        <v>38300</v>
      </c>
    </row>
    <row r="99" spans="1:4" s="3" customFormat="1" ht="51.75" customHeight="1" x14ac:dyDescent="0.3">
      <c r="A99" s="37"/>
      <c r="B99" s="52" t="s">
        <v>234</v>
      </c>
      <c r="C99" s="52"/>
      <c r="D99" s="22">
        <f>SUM(D100:D100)</f>
        <v>1000000</v>
      </c>
    </row>
    <row r="100" spans="1:4" s="3" customFormat="1" ht="33.75" customHeight="1" x14ac:dyDescent="0.3">
      <c r="A100" s="37" t="s">
        <v>185</v>
      </c>
      <c r="B100" s="55" t="s">
        <v>10</v>
      </c>
      <c r="C100" s="56"/>
      <c r="D100" s="23">
        <f>1000000</f>
        <v>1000000</v>
      </c>
    </row>
    <row r="101" spans="1:4" s="4" customFormat="1" ht="30" customHeight="1" x14ac:dyDescent="0.3">
      <c r="A101" s="19" t="s">
        <v>85</v>
      </c>
      <c r="B101" s="57" t="s">
        <v>98</v>
      </c>
      <c r="C101" s="58"/>
      <c r="D101" s="22">
        <f>D102</f>
        <v>171492600</v>
      </c>
    </row>
    <row r="102" spans="1:4" s="4" customFormat="1" ht="30" customHeight="1" x14ac:dyDescent="0.3">
      <c r="A102" s="19" t="s">
        <v>85</v>
      </c>
      <c r="B102" s="52" t="s">
        <v>69</v>
      </c>
      <c r="C102" s="52"/>
      <c r="D102" s="22">
        <f>D15+D17+D19+D21</f>
        <v>171492600</v>
      </c>
    </row>
    <row r="103" spans="1:4" ht="23.25" x14ac:dyDescent="0.35">
      <c r="A103" s="13"/>
      <c r="B103" s="13"/>
      <c r="C103" s="13"/>
      <c r="D103" s="13"/>
    </row>
  </sheetData>
  <sheetProtection selectLockedCells="1" selectUnlockedCells="1"/>
  <customSheetViews>
    <customSheetView guid="{4644111A-82C5-489B-9E53-EB80700E535E}" scale="50" showPageBreaks="1" zeroValues="0" printArea="1" view="pageBreakPreview">
      <pane xSplit="3" ySplit="12" topLeftCell="D32" activePane="bottomRight" state="frozen"/>
      <selection pane="bottomRight" activeCell="D34" sqref="D34"/>
      <rowBreaks count="2" manualBreakCount="2">
        <brk id="247" max="3" man="1"/>
        <brk id="286" max="3" man="1"/>
      </rowBreaks>
      <pageMargins left="0.98425196850393704" right="0.59055118110236227" top="0.59055118110236227" bottom="0.59055118110236227" header="0.39370078740157483" footer="0.39370078740157483"/>
      <printOptions horizontalCentered="1"/>
      <pageSetup paperSize="9" scale="43" firstPageNumber="0" fitToWidth="0" fitToHeight="0" orientation="portrait" horizontalDpi="300" verticalDpi="300" r:id="rId1"/>
      <headerFooter differentFirst="1" scaleWithDoc="0" alignWithMargins="0">
        <oddHeader>&amp;C&amp;P</oddHeader>
      </headerFooter>
    </customSheetView>
    <customSheetView guid="{879B1E14-7CA4-4463-9C42-4E2586107585}" scale="50" showPageBreaks="1" zeroValues="0" printArea="1" view="pageBreakPreview">
      <pane xSplit="3" ySplit="12" topLeftCell="D245" activePane="bottomRight" state="frozen"/>
      <selection pane="bottomRight" activeCell="A253" sqref="A253:D254"/>
      <rowBreaks count="2" manualBreakCount="2">
        <brk id="247" max="3" man="1"/>
        <brk id="286" max="3" man="1"/>
      </rowBreaks>
      <pageMargins left="0.98425196850393704" right="0.59055118110236227" top="0.59055118110236227" bottom="0.59055118110236227" header="0.39370078740157483" footer="0.39370078740157483"/>
      <printOptions horizontalCentered="1"/>
      <pageSetup paperSize="9" scale="43" firstPageNumber="0" fitToWidth="0" fitToHeight="0" orientation="portrait" horizontalDpi="300" verticalDpi="300" r:id="rId2"/>
      <headerFooter differentFirst="1" scaleWithDoc="0" alignWithMargins="0">
        <oddHeader>&amp;C&amp;P</oddHeader>
      </headerFooter>
    </customSheetView>
    <customSheetView guid="{C9A6F9B2-0582-46B8-BF5A-2A8D2AC01FE2}" scale="50" showPageBreaks="1" zeroValues="0" printArea="1" view="pageBreakPreview">
      <pane xSplit="3" ySplit="12" topLeftCell="D22" activePane="bottomRight" state="frozen"/>
      <selection pane="bottomRight" activeCell="D25" sqref="D25"/>
      <rowBreaks count="2" manualBreakCount="2">
        <brk id="247" max="3" man="1"/>
        <brk id="286" max="3" man="1"/>
      </rowBreaks>
      <pageMargins left="0.98425196850393704" right="0.59055118110236227" top="0.59055118110236227" bottom="0.59055118110236227" header="0.39370078740157483" footer="0.39370078740157483"/>
      <printOptions horizontalCentered="1"/>
      <pageSetup paperSize="9" scale="43" firstPageNumber="0" fitToWidth="0" fitToHeight="0" orientation="portrait" horizontalDpi="300" verticalDpi="300" r:id="rId3"/>
      <headerFooter differentFirst="1" scaleWithDoc="0" alignWithMargins="0">
        <oddHeader>&amp;C&amp;P</oddHeader>
      </headerFooter>
    </customSheetView>
  </customSheetViews>
  <mergeCells count="100">
    <mergeCell ref="B85:C85"/>
    <mergeCell ref="B86:C86"/>
    <mergeCell ref="B80:C80"/>
    <mergeCell ref="B83:C83"/>
    <mergeCell ref="B93:C93"/>
    <mergeCell ref="B84:C84"/>
    <mergeCell ref="B82:C82"/>
    <mergeCell ref="B81:C81"/>
    <mergeCell ref="B100:C100"/>
    <mergeCell ref="B72:C72"/>
    <mergeCell ref="B99:C99"/>
    <mergeCell ref="B91:C91"/>
    <mergeCell ref="B92:C92"/>
    <mergeCell ref="B87:C87"/>
    <mergeCell ref="B88:C88"/>
    <mergeCell ref="B89:C89"/>
    <mergeCell ref="B90:C90"/>
    <mergeCell ref="B96:C96"/>
    <mergeCell ref="B94:C94"/>
    <mergeCell ref="B77:C77"/>
    <mergeCell ref="B95:C95"/>
    <mergeCell ref="B78:C78"/>
    <mergeCell ref="B75:C75"/>
    <mergeCell ref="B97:C97"/>
    <mergeCell ref="B35:C35"/>
    <mergeCell ref="B38:C38"/>
    <mergeCell ref="B26:C26"/>
    <mergeCell ref="B27:C27"/>
    <mergeCell ref="B34:C34"/>
    <mergeCell ref="B33:C33"/>
    <mergeCell ref="B32:C32"/>
    <mergeCell ref="B30:C30"/>
    <mergeCell ref="B36:C36"/>
    <mergeCell ref="B74:C74"/>
    <mergeCell ref="B61:C61"/>
    <mergeCell ref="B62:C62"/>
    <mergeCell ref="B50:C50"/>
    <mergeCell ref="B51:C51"/>
    <mergeCell ref="B70:C70"/>
    <mergeCell ref="B52:C52"/>
    <mergeCell ref="B68:C68"/>
    <mergeCell ref="B67:C67"/>
    <mergeCell ref="B71:C71"/>
    <mergeCell ref="B73:C73"/>
    <mergeCell ref="B46:C46"/>
    <mergeCell ref="B47:C47"/>
    <mergeCell ref="B44:C44"/>
    <mergeCell ref="B37:C37"/>
    <mergeCell ref="B69:C69"/>
    <mergeCell ref="B42:C42"/>
    <mergeCell ref="B43:C43"/>
    <mergeCell ref="B45:C45"/>
    <mergeCell ref="B41:C41"/>
    <mergeCell ref="B39:C39"/>
    <mergeCell ref="B40:C40"/>
    <mergeCell ref="B48:C48"/>
    <mergeCell ref="B55:C55"/>
    <mergeCell ref="B54:C54"/>
    <mergeCell ref="C1:D1"/>
    <mergeCell ref="B17:C17"/>
    <mergeCell ref="C2:D2"/>
    <mergeCell ref="A5:D5"/>
    <mergeCell ref="A8:D8"/>
    <mergeCell ref="D10:D12"/>
    <mergeCell ref="C3:D3"/>
    <mergeCell ref="A14:D14"/>
    <mergeCell ref="B6:C6"/>
    <mergeCell ref="B7:C7"/>
    <mergeCell ref="A10:A12"/>
    <mergeCell ref="B10:C12"/>
    <mergeCell ref="B13:C13"/>
    <mergeCell ref="B15:C15"/>
    <mergeCell ref="B16:C16"/>
    <mergeCell ref="B102:C102"/>
    <mergeCell ref="B101:C101"/>
    <mergeCell ref="B49:C49"/>
    <mergeCell ref="B98:C98"/>
    <mergeCell ref="B57:C57"/>
    <mergeCell ref="B63:C63"/>
    <mergeCell ref="B64:C64"/>
    <mergeCell ref="B65:C65"/>
    <mergeCell ref="B66:C66"/>
    <mergeCell ref="B58:C58"/>
    <mergeCell ref="B59:C59"/>
    <mergeCell ref="B60:C60"/>
    <mergeCell ref="B53:C53"/>
    <mergeCell ref="B56:C56"/>
    <mergeCell ref="B79:C79"/>
    <mergeCell ref="B76:C76"/>
    <mergeCell ref="B25:C25"/>
    <mergeCell ref="B28:C28"/>
    <mergeCell ref="B18:C18"/>
    <mergeCell ref="B31:C31"/>
    <mergeCell ref="B29:C29"/>
    <mergeCell ref="B20:C20"/>
    <mergeCell ref="B21:C21"/>
    <mergeCell ref="B22:C22"/>
    <mergeCell ref="B23:C23"/>
    <mergeCell ref="B24:C24"/>
    <mergeCell ref="B19:C19"/>
  </mergeCells>
  <printOptions horizontalCentered="1"/>
  <pageMargins left="0.98425196850393704" right="0.39370078740157483" top="0.78740157480314965" bottom="0.78740157480314965" header="0.39370078740157483" footer="0.39370078740157483"/>
  <pageSetup paperSize="9" scale="43" firstPageNumber="0" fitToWidth="0" fitToHeight="0" orientation="portrait" verticalDpi="300" r:id="rId4"/>
  <headerFooter differentFirst="1" scaleWithDoc="0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"/>
  <sheetViews>
    <sheetView showZeros="0" tabSelected="1" view="pageBreakPreview" topLeftCell="A202" zoomScale="60" zoomScaleNormal="50" workbookViewId="0">
      <selection activeCell="S219" sqref="S219"/>
    </sheetView>
  </sheetViews>
  <sheetFormatPr defaultColWidth="9.140625" defaultRowHeight="18.75" x14ac:dyDescent="0.3"/>
  <cols>
    <col min="1" max="1" width="21.28515625" style="1" customWidth="1"/>
    <col min="2" max="2" width="21.140625" style="3" customWidth="1"/>
    <col min="3" max="3" width="72.42578125" style="1" customWidth="1"/>
    <col min="4" max="4" width="21.28515625" style="1" customWidth="1"/>
    <col min="5" max="5" width="25.85546875" style="5" customWidth="1"/>
    <col min="6" max="7" width="23.42578125" style="5" customWidth="1"/>
    <col min="8" max="8" width="25.7109375" style="5" customWidth="1"/>
    <col min="9" max="9" width="25.42578125" style="5" customWidth="1"/>
    <col min="10" max="10" width="10.28515625" style="1" customWidth="1"/>
    <col min="11" max="11" width="21" style="1" customWidth="1"/>
    <col min="12" max="16384" width="9.140625" style="1"/>
  </cols>
  <sheetData>
    <row r="1" spans="1:9" x14ac:dyDescent="0.3">
      <c r="F1" s="95"/>
      <c r="G1" s="95"/>
      <c r="H1" s="95"/>
      <c r="I1" s="95"/>
    </row>
    <row r="2" spans="1:9" x14ac:dyDescent="0.3">
      <c r="F2" s="95"/>
      <c r="G2" s="95"/>
      <c r="H2" s="95"/>
      <c r="I2" s="95"/>
    </row>
    <row r="3" spans="1:9" ht="22.5" x14ac:dyDescent="0.3">
      <c r="A3" s="61" t="s">
        <v>70</v>
      </c>
      <c r="B3" s="61"/>
      <c r="C3" s="61"/>
      <c r="D3" s="61"/>
      <c r="E3" s="61"/>
      <c r="F3" s="61"/>
      <c r="G3" s="61"/>
      <c r="H3" s="61"/>
      <c r="I3" s="61"/>
    </row>
    <row r="4" spans="1:9" x14ac:dyDescent="0.3">
      <c r="E4" s="20"/>
      <c r="F4" s="20"/>
      <c r="G4" s="20"/>
      <c r="H4" s="20"/>
      <c r="I4" s="20" t="s">
        <v>84</v>
      </c>
    </row>
    <row r="5" spans="1:9" x14ac:dyDescent="0.3">
      <c r="A5" s="97" t="s">
        <v>223</v>
      </c>
      <c r="B5" s="97" t="s">
        <v>71</v>
      </c>
      <c r="C5" s="97" t="s">
        <v>224</v>
      </c>
      <c r="D5" s="97"/>
      <c r="E5" s="98" t="s">
        <v>68</v>
      </c>
      <c r="F5" s="102" t="s">
        <v>4</v>
      </c>
      <c r="G5" s="103"/>
      <c r="H5" s="103"/>
      <c r="I5" s="104"/>
    </row>
    <row r="6" spans="1:9" ht="18.75" customHeight="1" x14ac:dyDescent="0.3">
      <c r="A6" s="97" t="s">
        <v>2</v>
      </c>
      <c r="B6" s="97"/>
      <c r="C6" s="97"/>
      <c r="D6" s="97"/>
      <c r="E6" s="98"/>
      <c r="F6" s="105"/>
      <c r="G6" s="106"/>
      <c r="H6" s="106"/>
      <c r="I6" s="107"/>
    </row>
    <row r="7" spans="1:9" ht="18.75" customHeight="1" x14ac:dyDescent="0.3">
      <c r="A7" s="97"/>
      <c r="B7" s="97"/>
      <c r="C7" s="97"/>
      <c r="D7" s="97"/>
      <c r="E7" s="98"/>
      <c r="F7" s="105"/>
      <c r="G7" s="106"/>
      <c r="H7" s="106"/>
      <c r="I7" s="107"/>
    </row>
    <row r="8" spans="1:9" ht="66" customHeight="1" x14ac:dyDescent="0.3">
      <c r="A8" s="97"/>
      <c r="B8" s="97"/>
      <c r="C8" s="97"/>
      <c r="D8" s="97"/>
      <c r="E8" s="98"/>
      <c r="F8" s="105"/>
      <c r="G8" s="106"/>
      <c r="H8" s="106"/>
      <c r="I8" s="107"/>
    </row>
    <row r="9" spans="1:9" ht="5.25" customHeight="1" x14ac:dyDescent="0.3">
      <c r="A9" s="97"/>
      <c r="B9" s="97"/>
      <c r="C9" s="97"/>
      <c r="D9" s="97"/>
      <c r="E9" s="98"/>
      <c r="F9" s="108"/>
      <c r="G9" s="109"/>
      <c r="H9" s="109"/>
      <c r="I9" s="110"/>
    </row>
    <row r="10" spans="1:9" ht="18.75" customHeight="1" x14ac:dyDescent="0.3">
      <c r="A10" s="21" t="s">
        <v>72</v>
      </c>
      <c r="B10" s="21">
        <v>2</v>
      </c>
      <c r="C10" s="97">
        <v>3</v>
      </c>
      <c r="D10" s="97"/>
      <c r="E10" s="15">
        <v>4</v>
      </c>
      <c r="F10" s="69">
        <v>5</v>
      </c>
      <c r="G10" s="70"/>
      <c r="H10" s="70"/>
      <c r="I10" s="71"/>
    </row>
    <row r="11" spans="1:9" ht="24" customHeight="1" x14ac:dyDescent="0.3">
      <c r="A11" s="99" t="s">
        <v>75</v>
      </c>
      <c r="B11" s="100"/>
      <c r="C11" s="100"/>
      <c r="D11" s="100"/>
      <c r="E11" s="100"/>
      <c r="F11" s="100"/>
      <c r="G11" s="100"/>
      <c r="H11" s="100"/>
      <c r="I11" s="101"/>
    </row>
    <row r="12" spans="1:9" s="4" customFormat="1" ht="40.5" customHeight="1" x14ac:dyDescent="0.3">
      <c r="A12" s="72"/>
      <c r="B12" s="72"/>
      <c r="C12" s="83" t="s">
        <v>123</v>
      </c>
      <c r="D12" s="83"/>
      <c r="E12" s="38"/>
      <c r="F12" s="96"/>
      <c r="G12" s="96"/>
      <c r="H12" s="96"/>
      <c r="I12" s="96"/>
    </row>
    <row r="13" spans="1:9" ht="33.75" customHeight="1" x14ac:dyDescent="0.3">
      <c r="A13" s="31">
        <v>3719110</v>
      </c>
      <c r="B13" s="17">
        <v>9110</v>
      </c>
      <c r="C13" s="89" t="s">
        <v>122</v>
      </c>
      <c r="D13" s="90"/>
      <c r="E13" s="24">
        <f>E14</f>
        <v>948849700</v>
      </c>
      <c r="F13" s="111"/>
      <c r="G13" s="112"/>
      <c r="H13" s="112"/>
      <c r="I13" s="113"/>
    </row>
    <row r="14" spans="1:9" s="6" customFormat="1" ht="33" customHeight="1" x14ac:dyDescent="0.3">
      <c r="A14" s="11">
        <v>9900000000</v>
      </c>
      <c r="B14" s="32"/>
      <c r="C14" s="68" t="s">
        <v>1</v>
      </c>
      <c r="D14" s="68"/>
      <c r="E14" s="25">
        <f>948849700</f>
        <v>948849700</v>
      </c>
      <c r="F14" s="111"/>
      <c r="G14" s="112"/>
      <c r="H14" s="112"/>
      <c r="I14" s="113"/>
    </row>
    <row r="15" spans="1:9" s="4" customFormat="1" ht="40.5" customHeight="1" x14ac:dyDescent="0.3">
      <c r="A15" s="72"/>
      <c r="B15" s="72"/>
      <c r="C15" s="83" t="s">
        <v>123</v>
      </c>
      <c r="D15" s="83"/>
      <c r="E15" s="27"/>
      <c r="F15" s="96"/>
      <c r="G15" s="96"/>
      <c r="H15" s="96"/>
      <c r="I15" s="96"/>
    </row>
    <row r="16" spans="1:9" ht="33.75" customHeight="1" x14ac:dyDescent="0.3">
      <c r="A16" s="31" t="s">
        <v>81</v>
      </c>
      <c r="B16" s="17">
        <v>9150</v>
      </c>
      <c r="C16" s="89" t="s">
        <v>82</v>
      </c>
      <c r="D16" s="90"/>
      <c r="E16" s="24">
        <f>SUM(E17:E17)</f>
        <v>200000000</v>
      </c>
      <c r="F16" s="111"/>
      <c r="G16" s="112"/>
      <c r="H16" s="112"/>
      <c r="I16" s="113"/>
    </row>
    <row r="17" spans="1:9" s="6" customFormat="1" ht="33" customHeight="1" x14ac:dyDescent="0.3">
      <c r="A17" s="12">
        <v>410000000</v>
      </c>
      <c r="B17" s="31"/>
      <c r="C17" s="82" t="s">
        <v>0</v>
      </c>
      <c r="D17" s="82"/>
      <c r="E17" s="24">
        <f>200000000</f>
        <v>200000000</v>
      </c>
      <c r="F17" s="111"/>
      <c r="G17" s="112"/>
      <c r="H17" s="112"/>
      <c r="I17" s="113"/>
    </row>
    <row r="18" spans="1:9" ht="38.25" customHeight="1" x14ac:dyDescent="0.3">
      <c r="A18" s="81"/>
      <c r="B18" s="81"/>
      <c r="C18" s="83" t="s">
        <v>124</v>
      </c>
      <c r="D18" s="83"/>
      <c r="E18" s="27"/>
      <c r="F18" s="73"/>
      <c r="G18" s="73"/>
      <c r="H18" s="73"/>
      <c r="I18" s="73"/>
    </row>
    <row r="19" spans="1:9" ht="114" customHeight="1" x14ac:dyDescent="0.3">
      <c r="A19" s="35" t="s">
        <v>73</v>
      </c>
      <c r="B19" s="33">
        <v>9270</v>
      </c>
      <c r="C19" s="114" t="s">
        <v>78</v>
      </c>
      <c r="D19" s="115"/>
      <c r="E19" s="24">
        <f>SUM(E20:E20)</f>
        <v>9574500</v>
      </c>
      <c r="F19" s="86" t="s">
        <v>86</v>
      </c>
      <c r="G19" s="87"/>
      <c r="H19" s="87"/>
      <c r="I19" s="88"/>
    </row>
    <row r="20" spans="1:9" s="6" customFormat="1" ht="33" customHeight="1" x14ac:dyDescent="0.3">
      <c r="A20" s="12">
        <v>410000000</v>
      </c>
      <c r="B20" s="31"/>
      <c r="C20" s="82" t="s">
        <v>0</v>
      </c>
      <c r="D20" s="82"/>
      <c r="E20" s="24">
        <f>F20</f>
        <v>9574500</v>
      </c>
      <c r="F20" s="86">
        <f>9574500</f>
        <v>9574500</v>
      </c>
      <c r="G20" s="87"/>
      <c r="H20" s="87"/>
      <c r="I20" s="87"/>
    </row>
    <row r="21" spans="1:9" s="4" customFormat="1" ht="33" customHeight="1" x14ac:dyDescent="0.3">
      <c r="A21" s="72"/>
      <c r="B21" s="72"/>
      <c r="C21" s="80" t="s">
        <v>125</v>
      </c>
      <c r="D21" s="80"/>
      <c r="E21" s="27"/>
      <c r="F21" s="117"/>
      <c r="G21" s="117"/>
      <c r="H21" s="117"/>
      <c r="I21" s="117"/>
    </row>
    <row r="22" spans="1:9" s="6" customFormat="1" ht="48" customHeight="1" x14ac:dyDescent="0.3">
      <c r="A22" s="16" t="s">
        <v>97</v>
      </c>
      <c r="B22" s="17">
        <v>9770</v>
      </c>
      <c r="C22" s="82" t="s">
        <v>228</v>
      </c>
      <c r="D22" s="82"/>
      <c r="E22" s="24">
        <f>SUM(E23:E101)</f>
        <v>120000000</v>
      </c>
      <c r="F22" s="86"/>
      <c r="G22" s="87"/>
      <c r="H22" s="87"/>
      <c r="I22" s="88"/>
    </row>
    <row r="23" spans="1:9" s="6" customFormat="1" ht="32.25" customHeight="1" x14ac:dyDescent="0.3">
      <c r="A23" s="12">
        <v>410000000</v>
      </c>
      <c r="B23" s="31"/>
      <c r="C23" s="82" t="s">
        <v>0</v>
      </c>
      <c r="D23" s="82"/>
      <c r="E23" s="24">
        <f>21205630</f>
        <v>21205630</v>
      </c>
      <c r="F23" s="86"/>
      <c r="G23" s="87"/>
      <c r="H23" s="87"/>
      <c r="I23" s="88"/>
    </row>
    <row r="24" spans="1:9" s="49" customFormat="1" ht="33" customHeight="1" x14ac:dyDescent="0.3">
      <c r="A24" s="11">
        <v>457400000</v>
      </c>
      <c r="B24" s="42"/>
      <c r="C24" s="84" t="s">
        <v>14</v>
      </c>
      <c r="D24" s="85"/>
      <c r="E24" s="26">
        <f>1194482</f>
        <v>1194482</v>
      </c>
      <c r="F24" s="69"/>
      <c r="G24" s="70"/>
      <c r="H24" s="70"/>
      <c r="I24" s="71"/>
    </row>
    <row r="25" spans="1:9" s="49" customFormat="1" ht="33" customHeight="1" x14ac:dyDescent="0.3">
      <c r="A25" s="11">
        <v>457600000</v>
      </c>
      <c r="B25" s="42"/>
      <c r="C25" s="68" t="s">
        <v>16</v>
      </c>
      <c r="D25" s="68"/>
      <c r="E25" s="26">
        <f>49720511</f>
        <v>49720511</v>
      </c>
      <c r="F25" s="69"/>
      <c r="G25" s="70"/>
      <c r="H25" s="70"/>
      <c r="I25" s="71"/>
    </row>
    <row r="26" spans="1:9" s="49" customFormat="1" ht="33" customHeight="1" x14ac:dyDescent="0.3">
      <c r="A26" s="11">
        <v>457700000</v>
      </c>
      <c r="B26" s="42"/>
      <c r="C26" s="68" t="s">
        <v>17</v>
      </c>
      <c r="D26" s="68"/>
      <c r="E26" s="26">
        <f>480482</f>
        <v>480482</v>
      </c>
      <c r="F26" s="69"/>
      <c r="G26" s="70"/>
      <c r="H26" s="70"/>
      <c r="I26" s="71"/>
    </row>
    <row r="27" spans="1:9" s="49" customFormat="1" ht="33" customHeight="1" x14ac:dyDescent="0.3">
      <c r="A27" s="11">
        <v>457100000</v>
      </c>
      <c r="B27" s="42"/>
      <c r="C27" s="68" t="s">
        <v>101</v>
      </c>
      <c r="D27" s="68"/>
      <c r="E27" s="26">
        <f>2287928</f>
        <v>2287928</v>
      </c>
      <c r="F27" s="69"/>
      <c r="G27" s="70"/>
      <c r="H27" s="70"/>
      <c r="I27" s="71"/>
    </row>
    <row r="28" spans="1:9" s="49" customFormat="1" ht="33" customHeight="1" x14ac:dyDescent="0.3">
      <c r="A28" s="11">
        <v>457810000</v>
      </c>
      <c r="B28" s="42"/>
      <c r="C28" s="68" t="s">
        <v>18</v>
      </c>
      <c r="D28" s="68"/>
      <c r="E28" s="26">
        <f>14299989</f>
        <v>14299989</v>
      </c>
      <c r="F28" s="69"/>
      <c r="G28" s="70"/>
      <c r="H28" s="70"/>
      <c r="I28" s="71"/>
    </row>
    <row r="29" spans="1:9" s="49" customFormat="1" ht="33" customHeight="1" x14ac:dyDescent="0.3">
      <c r="A29" s="11">
        <v>456100000</v>
      </c>
      <c r="B29" s="42"/>
      <c r="C29" s="68" t="s">
        <v>28</v>
      </c>
      <c r="D29" s="68"/>
      <c r="E29" s="26">
        <f>200000</f>
        <v>200000</v>
      </c>
      <c r="F29" s="69"/>
      <c r="G29" s="70"/>
      <c r="H29" s="70"/>
      <c r="I29" s="71"/>
    </row>
    <row r="30" spans="1:9" s="49" customFormat="1" ht="33" customHeight="1" x14ac:dyDescent="0.3">
      <c r="A30" s="11">
        <v>458100000</v>
      </c>
      <c r="B30" s="42"/>
      <c r="C30" s="68" t="s">
        <v>20</v>
      </c>
      <c r="D30" s="68"/>
      <c r="E30" s="26">
        <f>1765446</f>
        <v>1765446</v>
      </c>
      <c r="F30" s="69"/>
      <c r="G30" s="70"/>
      <c r="H30" s="70"/>
      <c r="I30" s="71"/>
    </row>
    <row r="31" spans="1:9" s="49" customFormat="1" ht="33" customHeight="1" x14ac:dyDescent="0.3">
      <c r="A31" s="11">
        <v>458400000</v>
      </c>
      <c r="B31" s="42"/>
      <c r="C31" s="68" t="s">
        <v>22</v>
      </c>
      <c r="D31" s="68"/>
      <c r="E31" s="26">
        <f>1584964</f>
        <v>1584964</v>
      </c>
      <c r="F31" s="69"/>
      <c r="G31" s="70"/>
      <c r="H31" s="70"/>
      <c r="I31" s="71"/>
    </row>
    <row r="32" spans="1:9" s="49" customFormat="1" ht="33" customHeight="1" x14ac:dyDescent="0.3">
      <c r="A32" s="11">
        <v>456200000</v>
      </c>
      <c r="B32" s="42"/>
      <c r="C32" s="68" t="s">
        <v>29</v>
      </c>
      <c r="D32" s="68"/>
      <c r="E32" s="26">
        <f>456000</f>
        <v>456000</v>
      </c>
      <c r="F32" s="69"/>
      <c r="G32" s="70"/>
      <c r="H32" s="70"/>
      <c r="I32" s="71"/>
    </row>
    <row r="33" spans="1:9" s="49" customFormat="1" ht="33" customHeight="1" x14ac:dyDescent="0.3">
      <c r="A33" s="11">
        <v>458200000</v>
      </c>
      <c r="B33" s="42"/>
      <c r="C33" s="68" t="s">
        <v>239</v>
      </c>
      <c r="D33" s="68"/>
      <c r="E33" s="26">
        <f>134482</f>
        <v>134482</v>
      </c>
      <c r="F33" s="69"/>
      <c r="G33" s="70"/>
      <c r="H33" s="70"/>
      <c r="I33" s="71"/>
    </row>
    <row r="34" spans="1:9" s="49" customFormat="1" ht="33" customHeight="1" x14ac:dyDescent="0.3">
      <c r="A34" s="11">
        <v>458900000</v>
      </c>
      <c r="B34" s="42"/>
      <c r="C34" s="68" t="s">
        <v>26</v>
      </c>
      <c r="D34" s="68"/>
      <c r="E34" s="26">
        <f>320000</f>
        <v>320000</v>
      </c>
      <c r="F34" s="69"/>
      <c r="G34" s="70"/>
      <c r="H34" s="70"/>
      <c r="I34" s="71"/>
    </row>
    <row r="35" spans="1:9" s="49" customFormat="1" ht="33" customHeight="1" x14ac:dyDescent="0.3">
      <c r="A35" s="11">
        <v>459100000</v>
      </c>
      <c r="B35" s="42"/>
      <c r="C35" s="68" t="s">
        <v>27</v>
      </c>
      <c r="D35" s="68"/>
      <c r="E35" s="26">
        <f>1248964</f>
        <v>1248964</v>
      </c>
      <c r="F35" s="69"/>
      <c r="G35" s="70"/>
      <c r="H35" s="70"/>
      <c r="I35" s="71"/>
    </row>
    <row r="36" spans="1:9" s="49" customFormat="1" ht="33" customHeight="1" x14ac:dyDescent="0.3">
      <c r="A36" s="11">
        <v>458500000</v>
      </c>
      <c r="B36" s="42"/>
      <c r="C36" s="68" t="s">
        <v>243</v>
      </c>
      <c r="D36" s="68"/>
      <c r="E36" s="26">
        <f>430000</f>
        <v>430000</v>
      </c>
      <c r="F36" s="69"/>
      <c r="G36" s="70"/>
      <c r="H36" s="70"/>
      <c r="I36" s="71"/>
    </row>
    <row r="37" spans="1:9" s="49" customFormat="1" ht="33" customHeight="1" x14ac:dyDescent="0.3">
      <c r="A37" s="11">
        <v>450100000</v>
      </c>
      <c r="B37" s="42"/>
      <c r="C37" s="68" t="s">
        <v>30</v>
      </c>
      <c r="D37" s="68"/>
      <c r="E37" s="26">
        <f>290000</f>
        <v>290000</v>
      </c>
      <c r="F37" s="69"/>
      <c r="G37" s="70"/>
      <c r="H37" s="70"/>
      <c r="I37" s="71"/>
    </row>
    <row r="38" spans="1:9" s="49" customFormat="1" ht="33" customHeight="1" x14ac:dyDescent="0.3">
      <c r="A38" s="11">
        <v>450200000</v>
      </c>
      <c r="B38" s="42"/>
      <c r="C38" s="68" t="s">
        <v>31</v>
      </c>
      <c r="D38" s="68"/>
      <c r="E38" s="26">
        <f>150000</f>
        <v>150000</v>
      </c>
      <c r="F38" s="69"/>
      <c r="G38" s="70"/>
      <c r="H38" s="70"/>
      <c r="I38" s="71"/>
    </row>
    <row r="39" spans="1:9" s="49" customFormat="1" ht="33" customHeight="1" x14ac:dyDescent="0.3">
      <c r="A39" s="11">
        <v>451800000</v>
      </c>
      <c r="B39" s="42"/>
      <c r="C39" s="68" t="s">
        <v>32</v>
      </c>
      <c r="D39" s="68"/>
      <c r="E39" s="26">
        <f>200000</f>
        <v>200000</v>
      </c>
      <c r="F39" s="69"/>
      <c r="G39" s="70"/>
      <c r="H39" s="70"/>
      <c r="I39" s="71"/>
    </row>
    <row r="40" spans="1:9" s="49" customFormat="1" ht="33" customHeight="1" x14ac:dyDescent="0.3">
      <c r="A40" s="11">
        <v>457200000</v>
      </c>
      <c r="B40" s="42"/>
      <c r="C40" s="84" t="s">
        <v>238</v>
      </c>
      <c r="D40" s="85"/>
      <c r="E40" s="26">
        <f>109482</f>
        <v>109482</v>
      </c>
      <c r="F40" s="69"/>
      <c r="G40" s="70"/>
      <c r="H40" s="70"/>
      <c r="I40" s="71"/>
    </row>
    <row r="41" spans="1:9" s="49" customFormat="1" ht="33" customHeight="1" x14ac:dyDescent="0.3">
      <c r="A41" s="11" t="s">
        <v>134</v>
      </c>
      <c r="B41" s="42"/>
      <c r="C41" s="40" t="s">
        <v>132</v>
      </c>
      <c r="D41" s="41"/>
      <c r="E41" s="26">
        <f>50000</f>
        <v>50000</v>
      </c>
      <c r="F41" s="69"/>
      <c r="G41" s="70"/>
      <c r="H41" s="70"/>
      <c r="I41" s="71"/>
    </row>
    <row r="42" spans="1:9" s="49" customFormat="1" ht="33" customHeight="1" x14ac:dyDescent="0.3">
      <c r="A42" s="11">
        <v>451900000</v>
      </c>
      <c r="B42" s="42"/>
      <c r="C42" s="68" t="s">
        <v>41</v>
      </c>
      <c r="D42" s="68"/>
      <c r="E42" s="26">
        <f>954482</f>
        <v>954482</v>
      </c>
      <c r="F42" s="69"/>
      <c r="G42" s="70"/>
      <c r="H42" s="70"/>
      <c r="I42" s="71"/>
    </row>
    <row r="43" spans="1:9" s="49" customFormat="1" ht="33" customHeight="1" x14ac:dyDescent="0.3">
      <c r="A43" s="11">
        <v>452900000</v>
      </c>
      <c r="B43" s="42"/>
      <c r="C43" s="68" t="s">
        <v>49</v>
      </c>
      <c r="D43" s="68"/>
      <c r="E43" s="26">
        <f>634482</f>
        <v>634482</v>
      </c>
      <c r="F43" s="69"/>
      <c r="G43" s="70"/>
      <c r="H43" s="70"/>
      <c r="I43" s="71"/>
    </row>
    <row r="44" spans="1:9" s="49" customFormat="1" ht="33" customHeight="1" x14ac:dyDescent="0.3">
      <c r="A44" s="11">
        <v>450300000</v>
      </c>
      <c r="B44" s="42"/>
      <c r="C44" s="68" t="s">
        <v>33</v>
      </c>
      <c r="D44" s="68"/>
      <c r="E44" s="26">
        <f>150000</f>
        <v>150000</v>
      </c>
      <c r="F44" s="69"/>
      <c r="G44" s="70"/>
      <c r="H44" s="70"/>
      <c r="I44" s="71"/>
    </row>
    <row r="45" spans="1:9" s="49" customFormat="1" ht="33" customHeight="1" x14ac:dyDescent="0.3">
      <c r="A45" s="11">
        <v>457300000</v>
      </c>
      <c r="B45" s="42"/>
      <c r="C45" s="68" t="s">
        <v>93</v>
      </c>
      <c r="D45" s="68"/>
      <c r="E45" s="26">
        <f>170000</f>
        <v>170000</v>
      </c>
      <c r="F45" s="69"/>
      <c r="G45" s="70"/>
      <c r="H45" s="70"/>
      <c r="I45" s="71"/>
    </row>
    <row r="46" spans="1:9" s="49" customFormat="1" ht="33" customHeight="1" x14ac:dyDescent="0.3">
      <c r="A46" s="11">
        <v>453600000</v>
      </c>
      <c r="B46" s="42"/>
      <c r="C46" s="68" t="s">
        <v>52</v>
      </c>
      <c r="D46" s="68"/>
      <c r="E46" s="26">
        <f>2893446</f>
        <v>2893446</v>
      </c>
      <c r="F46" s="69"/>
      <c r="G46" s="70"/>
      <c r="H46" s="70"/>
      <c r="I46" s="71"/>
    </row>
    <row r="47" spans="1:9" s="49" customFormat="1" ht="33" customHeight="1" x14ac:dyDescent="0.3">
      <c r="A47" s="11">
        <v>452000000</v>
      </c>
      <c r="B47" s="42"/>
      <c r="C47" s="68" t="s">
        <v>42</v>
      </c>
      <c r="D47" s="68"/>
      <c r="E47" s="26">
        <f>20000</f>
        <v>20000</v>
      </c>
      <c r="F47" s="69"/>
      <c r="G47" s="70"/>
      <c r="H47" s="70"/>
      <c r="I47" s="71"/>
    </row>
    <row r="48" spans="1:9" s="49" customFormat="1" ht="33" customHeight="1" x14ac:dyDescent="0.3">
      <c r="A48" s="11">
        <v>456300000</v>
      </c>
      <c r="B48" s="42"/>
      <c r="C48" s="68" t="s">
        <v>7</v>
      </c>
      <c r="D48" s="68"/>
      <c r="E48" s="26">
        <f>65000</f>
        <v>65000</v>
      </c>
      <c r="F48" s="69"/>
      <c r="G48" s="70"/>
      <c r="H48" s="70"/>
      <c r="I48" s="71"/>
    </row>
    <row r="49" spans="1:9" s="49" customFormat="1" ht="33" customHeight="1" x14ac:dyDescent="0.3">
      <c r="A49" s="11">
        <v>453000000</v>
      </c>
      <c r="B49" s="42"/>
      <c r="C49" s="68" t="s">
        <v>50</v>
      </c>
      <c r="D49" s="68"/>
      <c r="E49" s="26">
        <f>160000</f>
        <v>160000</v>
      </c>
      <c r="F49" s="69"/>
      <c r="G49" s="70"/>
      <c r="H49" s="70"/>
      <c r="I49" s="71"/>
    </row>
    <row r="50" spans="1:9" s="49" customFormat="1" ht="33" customHeight="1" x14ac:dyDescent="0.3">
      <c r="A50" s="11">
        <v>450700000</v>
      </c>
      <c r="B50" s="42"/>
      <c r="C50" s="68" t="s">
        <v>35</v>
      </c>
      <c r="D50" s="68"/>
      <c r="E50" s="26">
        <f>65000</f>
        <v>65000</v>
      </c>
      <c r="F50" s="69"/>
      <c r="G50" s="70"/>
      <c r="H50" s="70"/>
      <c r="I50" s="71"/>
    </row>
    <row r="51" spans="1:9" s="49" customFormat="1" ht="33" customHeight="1" x14ac:dyDescent="0.3">
      <c r="A51" s="11">
        <v>457500000</v>
      </c>
      <c r="B51" s="42"/>
      <c r="C51" s="68" t="s">
        <v>15</v>
      </c>
      <c r="D51" s="68"/>
      <c r="E51" s="26">
        <f>184482</f>
        <v>184482</v>
      </c>
      <c r="F51" s="69"/>
      <c r="G51" s="70"/>
      <c r="H51" s="70"/>
      <c r="I51" s="71"/>
    </row>
    <row r="52" spans="1:9" s="49" customFormat="1" ht="33" customHeight="1" x14ac:dyDescent="0.3">
      <c r="A52" s="11">
        <v>455600000</v>
      </c>
      <c r="B52" s="42"/>
      <c r="C52" s="68" t="s">
        <v>62</v>
      </c>
      <c r="D52" s="68"/>
      <c r="E52" s="26">
        <f>70000</f>
        <v>70000</v>
      </c>
      <c r="F52" s="69"/>
      <c r="G52" s="70"/>
      <c r="H52" s="70"/>
      <c r="I52" s="71"/>
    </row>
    <row r="53" spans="1:9" s="49" customFormat="1" ht="33" customHeight="1" x14ac:dyDescent="0.3">
      <c r="A53" s="11">
        <v>453500000</v>
      </c>
      <c r="B53" s="42"/>
      <c r="C53" s="68" t="s">
        <v>6</v>
      </c>
      <c r="D53" s="68"/>
      <c r="E53" s="26">
        <f>400000</f>
        <v>400000</v>
      </c>
      <c r="F53" s="69"/>
      <c r="G53" s="70"/>
      <c r="H53" s="70"/>
      <c r="I53" s="71"/>
    </row>
    <row r="54" spans="1:9" s="49" customFormat="1" ht="33" customHeight="1" x14ac:dyDescent="0.3">
      <c r="A54" s="11">
        <v>456400000</v>
      </c>
      <c r="B54" s="42"/>
      <c r="C54" s="68" t="s">
        <v>8</v>
      </c>
      <c r="D54" s="68"/>
      <c r="E54" s="26">
        <f>270000</f>
        <v>270000</v>
      </c>
      <c r="F54" s="69"/>
      <c r="G54" s="70"/>
      <c r="H54" s="70"/>
      <c r="I54" s="71"/>
    </row>
    <row r="55" spans="1:9" s="49" customFormat="1" ht="33" customHeight="1" x14ac:dyDescent="0.3">
      <c r="A55" s="11">
        <v>450600000</v>
      </c>
      <c r="B55" s="42"/>
      <c r="C55" s="68" t="s">
        <v>34</v>
      </c>
      <c r="D55" s="68"/>
      <c r="E55" s="26">
        <f>110000</f>
        <v>110000</v>
      </c>
      <c r="F55" s="69"/>
      <c r="G55" s="70"/>
      <c r="H55" s="70"/>
      <c r="I55" s="71"/>
    </row>
    <row r="56" spans="1:9" s="49" customFormat="1" ht="33" customHeight="1" x14ac:dyDescent="0.3">
      <c r="A56" s="11">
        <v>455000000</v>
      </c>
      <c r="B56" s="42"/>
      <c r="C56" s="68" t="s">
        <v>58</v>
      </c>
      <c r="D56" s="68"/>
      <c r="E56" s="26">
        <f>160000</f>
        <v>160000</v>
      </c>
      <c r="F56" s="69"/>
      <c r="G56" s="70"/>
      <c r="H56" s="70"/>
      <c r="I56" s="71"/>
    </row>
    <row r="57" spans="1:9" s="49" customFormat="1" ht="33" customHeight="1" x14ac:dyDescent="0.3">
      <c r="A57" s="11" t="s">
        <v>171</v>
      </c>
      <c r="B57" s="42"/>
      <c r="C57" s="68" t="s">
        <v>172</v>
      </c>
      <c r="D57" s="68"/>
      <c r="E57" s="26">
        <f>277000</f>
        <v>277000</v>
      </c>
      <c r="F57" s="69"/>
      <c r="G57" s="70"/>
      <c r="H57" s="70"/>
      <c r="I57" s="71"/>
    </row>
    <row r="58" spans="1:9" s="49" customFormat="1" ht="33" customHeight="1" x14ac:dyDescent="0.3">
      <c r="A58" s="11">
        <v>452100000</v>
      </c>
      <c r="B58" s="42"/>
      <c r="C58" s="68" t="s">
        <v>43</v>
      </c>
      <c r="D58" s="68"/>
      <c r="E58" s="26">
        <f>120000</f>
        <v>120000</v>
      </c>
      <c r="F58" s="69"/>
      <c r="G58" s="70"/>
      <c r="H58" s="70"/>
      <c r="I58" s="71"/>
    </row>
    <row r="59" spans="1:9" s="49" customFormat="1" ht="33" customHeight="1" x14ac:dyDescent="0.3">
      <c r="A59" s="11" t="s">
        <v>152</v>
      </c>
      <c r="B59" s="42"/>
      <c r="C59" s="68" t="s">
        <v>153</v>
      </c>
      <c r="D59" s="68"/>
      <c r="E59" s="26">
        <f>270000</f>
        <v>270000</v>
      </c>
      <c r="F59" s="69"/>
      <c r="G59" s="70"/>
      <c r="H59" s="70"/>
      <c r="I59" s="71"/>
    </row>
    <row r="60" spans="1:9" s="49" customFormat="1" ht="33" customHeight="1" x14ac:dyDescent="0.3">
      <c r="A60" s="11">
        <v>455700000</v>
      </c>
      <c r="B60" s="42"/>
      <c r="C60" s="68" t="s">
        <v>63</v>
      </c>
      <c r="D60" s="68"/>
      <c r="E60" s="26">
        <f>70000</f>
        <v>70000</v>
      </c>
      <c r="F60" s="69"/>
      <c r="G60" s="70"/>
      <c r="H60" s="70"/>
      <c r="I60" s="71"/>
    </row>
    <row r="61" spans="1:9" s="49" customFormat="1" ht="33" customHeight="1" x14ac:dyDescent="0.3">
      <c r="A61" s="11">
        <v>457900000</v>
      </c>
      <c r="B61" s="42"/>
      <c r="C61" s="68" t="s">
        <v>19</v>
      </c>
      <c r="D61" s="68"/>
      <c r="E61" s="26">
        <f>1004482</f>
        <v>1004482</v>
      </c>
      <c r="F61" s="69"/>
      <c r="G61" s="70"/>
      <c r="H61" s="70"/>
      <c r="I61" s="71"/>
    </row>
    <row r="62" spans="1:9" s="49" customFormat="1" ht="33" customHeight="1" x14ac:dyDescent="0.3">
      <c r="A62" s="11">
        <v>455300000</v>
      </c>
      <c r="B62" s="42"/>
      <c r="C62" s="68" t="s">
        <v>60</v>
      </c>
      <c r="D62" s="68"/>
      <c r="E62" s="26">
        <f>120000</f>
        <v>120000</v>
      </c>
      <c r="F62" s="69"/>
      <c r="G62" s="70"/>
      <c r="H62" s="70"/>
      <c r="I62" s="71"/>
    </row>
    <row r="63" spans="1:9" s="49" customFormat="1" ht="33" customHeight="1" x14ac:dyDescent="0.3">
      <c r="A63" s="11" t="s">
        <v>175</v>
      </c>
      <c r="B63" s="42"/>
      <c r="C63" s="68" t="s">
        <v>176</v>
      </c>
      <c r="D63" s="68"/>
      <c r="E63" s="26">
        <f>136482</f>
        <v>136482</v>
      </c>
      <c r="F63" s="69"/>
      <c r="G63" s="70"/>
      <c r="H63" s="70"/>
      <c r="I63" s="71"/>
    </row>
    <row r="64" spans="1:9" s="49" customFormat="1" ht="33" customHeight="1" x14ac:dyDescent="0.3">
      <c r="A64" s="11">
        <v>456500000</v>
      </c>
      <c r="B64" s="42"/>
      <c r="C64" s="68" t="s">
        <v>9</v>
      </c>
      <c r="D64" s="68"/>
      <c r="E64" s="26">
        <f>1474482</f>
        <v>1474482</v>
      </c>
      <c r="F64" s="69"/>
      <c r="G64" s="70"/>
      <c r="H64" s="70"/>
      <c r="I64" s="71"/>
    </row>
    <row r="65" spans="1:9" s="49" customFormat="1" ht="33" customHeight="1" x14ac:dyDescent="0.3">
      <c r="A65" s="11">
        <v>454100000</v>
      </c>
      <c r="B65" s="42"/>
      <c r="C65" s="68" t="s">
        <v>66</v>
      </c>
      <c r="D65" s="68"/>
      <c r="E65" s="26">
        <f>160000</f>
        <v>160000</v>
      </c>
      <c r="F65" s="69"/>
      <c r="G65" s="70"/>
      <c r="H65" s="70"/>
      <c r="I65" s="71"/>
    </row>
    <row r="66" spans="1:9" s="49" customFormat="1" ht="33" customHeight="1" x14ac:dyDescent="0.3">
      <c r="A66" s="11">
        <v>453700000</v>
      </c>
      <c r="B66" s="42"/>
      <c r="C66" s="68" t="s">
        <v>53</v>
      </c>
      <c r="D66" s="68"/>
      <c r="E66" s="26">
        <f>170000</f>
        <v>170000</v>
      </c>
      <c r="F66" s="69"/>
      <c r="G66" s="70"/>
      <c r="H66" s="70"/>
      <c r="I66" s="71"/>
    </row>
    <row r="67" spans="1:9" s="49" customFormat="1" ht="33" customHeight="1" x14ac:dyDescent="0.3">
      <c r="A67" s="11">
        <v>458000000</v>
      </c>
      <c r="B67" s="42"/>
      <c r="C67" s="68" t="s">
        <v>80</v>
      </c>
      <c r="D67" s="68"/>
      <c r="E67" s="26">
        <f>600000</f>
        <v>600000</v>
      </c>
      <c r="F67" s="69"/>
      <c r="G67" s="70"/>
      <c r="H67" s="70"/>
      <c r="I67" s="71"/>
    </row>
    <row r="68" spans="1:9" s="49" customFormat="1" ht="33" customHeight="1" x14ac:dyDescent="0.3">
      <c r="A68" s="11">
        <v>454400000</v>
      </c>
      <c r="B68" s="42"/>
      <c r="C68" s="68" t="s">
        <v>79</v>
      </c>
      <c r="D68" s="68"/>
      <c r="E68" s="26">
        <f>120000</f>
        <v>120000</v>
      </c>
      <c r="F68" s="69"/>
      <c r="G68" s="70"/>
      <c r="H68" s="70"/>
      <c r="I68" s="71"/>
    </row>
    <row r="69" spans="1:9" s="49" customFormat="1" ht="33" customHeight="1" x14ac:dyDescent="0.3">
      <c r="A69" s="11">
        <v>451600000</v>
      </c>
      <c r="B69" s="42"/>
      <c r="C69" s="68" t="s">
        <v>40</v>
      </c>
      <c r="D69" s="68"/>
      <c r="E69" s="26">
        <f>307241</f>
        <v>307241</v>
      </c>
      <c r="F69" s="69"/>
      <c r="G69" s="70"/>
      <c r="H69" s="70"/>
      <c r="I69" s="71"/>
    </row>
    <row r="70" spans="1:9" s="49" customFormat="1" ht="33" customHeight="1" x14ac:dyDescent="0.3">
      <c r="A70" s="11">
        <v>450900000</v>
      </c>
      <c r="B70" s="42"/>
      <c r="C70" s="68" t="s">
        <v>36</v>
      </c>
      <c r="D70" s="68"/>
      <c r="E70" s="26">
        <f>146000</f>
        <v>146000</v>
      </c>
      <c r="F70" s="69"/>
      <c r="G70" s="70"/>
      <c r="H70" s="70"/>
      <c r="I70" s="71"/>
    </row>
    <row r="71" spans="1:9" s="49" customFormat="1" ht="33" customHeight="1" x14ac:dyDescent="0.3">
      <c r="A71" s="11">
        <v>453900000</v>
      </c>
      <c r="B71" s="42"/>
      <c r="C71" s="68" t="s">
        <v>241</v>
      </c>
      <c r="D71" s="68"/>
      <c r="E71" s="26">
        <f>100000</f>
        <v>100000</v>
      </c>
      <c r="F71" s="69"/>
      <c r="G71" s="70"/>
      <c r="H71" s="70"/>
      <c r="I71" s="71"/>
    </row>
    <row r="72" spans="1:9" s="49" customFormat="1" ht="33" customHeight="1" x14ac:dyDescent="0.3">
      <c r="A72" s="11" t="s">
        <v>181</v>
      </c>
      <c r="B72" s="42"/>
      <c r="C72" s="68" t="s">
        <v>182</v>
      </c>
      <c r="D72" s="68"/>
      <c r="E72" s="26">
        <f>60000</f>
        <v>60000</v>
      </c>
      <c r="F72" s="69"/>
      <c r="G72" s="70"/>
      <c r="H72" s="70"/>
      <c r="I72" s="71"/>
    </row>
    <row r="73" spans="1:9" s="49" customFormat="1" ht="33" customHeight="1" x14ac:dyDescent="0.3">
      <c r="A73" s="11" t="s">
        <v>183</v>
      </c>
      <c r="B73" s="42"/>
      <c r="C73" s="68" t="s">
        <v>133</v>
      </c>
      <c r="D73" s="68"/>
      <c r="E73" s="26">
        <f>50000</f>
        <v>50000</v>
      </c>
      <c r="F73" s="69"/>
      <c r="G73" s="70"/>
      <c r="H73" s="70"/>
      <c r="I73" s="71"/>
    </row>
    <row r="74" spans="1:9" s="49" customFormat="1" ht="33" customHeight="1" x14ac:dyDescent="0.3">
      <c r="A74" s="11">
        <v>451100000</v>
      </c>
      <c r="B74" s="42"/>
      <c r="C74" s="68" t="s">
        <v>67</v>
      </c>
      <c r="D74" s="68"/>
      <c r="E74" s="26">
        <f>1234482</f>
        <v>1234482</v>
      </c>
      <c r="F74" s="69"/>
      <c r="G74" s="70"/>
      <c r="H74" s="70"/>
      <c r="I74" s="71"/>
    </row>
    <row r="75" spans="1:9" s="49" customFormat="1" ht="33" customHeight="1" x14ac:dyDescent="0.3">
      <c r="A75" s="11">
        <v>458300000</v>
      </c>
      <c r="B75" s="42"/>
      <c r="C75" s="68" t="s">
        <v>21</v>
      </c>
      <c r="D75" s="68"/>
      <c r="E75" s="26">
        <f>330000</f>
        <v>330000</v>
      </c>
      <c r="F75" s="69"/>
      <c r="G75" s="70"/>
      <c r="H75" s="70"/>
      <c r="I75" s="71"/>
    </row>
    <row r="76" spans="1:9" s="49" customFormat="1" ht="33" customHeight="1" x14ac:dyDescent="0.3">
      <c r="A76" s="11">
        <v>451200000</v>
      </c>
      <c r="B76" s="42"/>
      <c r="C76" s="68" t="s">
        <v>37</v>
      </c>
      <c r="D76" s="68"/>
      <c r="E76" s="26">
        <f>100000</f>
        <v>100000</v>
      </c>
      <c r="F76" s="69"/>
      <c r="G76" s="70"/>
      <c r="H76" s="70"/>
      <c r="I76" s="71"/>
    </row>
    <row r="77" spans="1:9" s="49" customFormat="1" ht="33" customHeight="1" x14ac:dyDescent="0.3">
      <c r="A77" s="11">
        <v>455800000</v>
      </c>
      <c r="B77" s="42"/>
      <c r="C77" s="68" t="s">
        <v>64</v>
      </c>
      <c r="D77" s="68"/>
      <c r="E77" s="26">
        <f>120000</f>
        <v>120000</v>
      </c>
      <c r="F77" s="69"/>
      <c r="G77" s="70"/>
      <c r="H77" s="70"/>
      <c r="I77" s="71"/>
    </row>
    <row r="78" spans="1:9" s="49" customFormat="1" ht="33" customHeight="1" x14ac:dyDescent="0.3">
      <c r="A78" s="11">
        <v>454300000</v>
      </c>
      <c r="B78" s="42"/>
      <c r="C78" s="68" t="s">
        <v>56</v>
      </c>
      <c r="D78" s="68"/>
      <c r="E78" s="26">
        <f>205000</f>
        <v>205000</v>
      </c>
      <c r="F78" s="69"/>
      <c r="G78" s="70"/>
      <c r="H78" s="70"/>
      <c r="I78" s="71"/>
    </row>
    <row r="79" spans="1:9" s="49" customFormat="1" ht="33" customHeight="1" x14ac:dyDescent="0.3">
      <c r="A79" s="11">
        <v>458600000</v>
      </c>
      <c r="B79" s="42"/>
      <c r="C79" s="68" t="s">
        <v>23</v>
      </c>
      <c r="D79" s="68"/>
      <c r="E79" s="26">
        <f>839482</f>
        <v>839482</v>
      </c>
      <c r="F79" s="69"/>
      <c r="G79" s="70"/>
      <c r="H79" s="70"/>
      <c r="I79" s="71"/>
    </row>
    <row r="80" spans="1:9" s="49" customFormat="1" ht="33" customHeight="1" x14ac:dyDescent="0.3">
      <c r="A80" s="11">
        <v>456800000</v>
      </c>
      <c r="B80" s="42"/>
      <c r="C80" s="68" t="s">
        <v>12</v>
      </c>
      <c r="D80" s="68"/>
      <c r="E80" s="26">
        <f>325000</f>
        <v>325000</v>
      </c>
      <c r="F80" s="69"/>
      <c r="G80" s="70"/>
      <c r="H80" s="70"/>
      <c r="I80" s="71"/>
    </row>
    <row r="81" spans="1:9" s="49" customFormat="1" ht="33" customHeight="1" x14ac:dyDescent="0.3">
      <c r="A81" s="11">
        <v>455900000</v>
      </c>
      <c r="B81" s="42"/>
      <c r="C81" s="68" t="s">
        <v>65</v>
      </c>
      <c r="D81" s="68"/>
      <c r="E81" s="26">
        <f>1064482</f>
        <v>1064482</v>
      </c>
      <c r="F81" s="69"/>
      <c r="G81" s="70"/>
      <c r="H81" s="70"/>
      <c r="I81" s="71"/>
    </row>
    <row r="82" spans="1:9" s="49" customFormat="1" ht="33" customHeight="1" x14ac:dyDescent="0.3">
      <c r="A82" s="11">
        <v>452300000</v>
      </c>
      <c r="B82" s="42"/>
      <c r="C82" s="68" t="s">
        <v>44</v>
      </c>
      <c r="D82" s="68"/>
      <c r="E82" s="26">
        <f>700000</f>
        <v>700000</v>
      </c>
      <c r="F82" s="69"/>
      <c r="G82" s="70"/>
      <c r="H82" s="70"/>
      <c r="I82" s="71"/>
    </row>
    <row r="83" spans="1:9" s="49" customFormat="1" ht="33" customHeight="1" x14ac:dyDescent="0.3">
      <c r="A83" s="11">
        <v>458700000</v>
      </c>
      <c r="B83" s="42"/>
      <c r="C83" s="68" t="s">
        <v>24</v>
      </c>
      <c r="D83" s="68"/>
      <c r="E83" s="26">
        <f>901000</f>
        <v>901000</v>
      </c>
      <c r="F83" s="69"/>
      <c r="G83" s="70"/>
      <c r="H83" s="70"/>
      <c r="I83" s="71"/>
    </row>
    <row r="84" spans="1:9" s="49" customFormat="1" ht="33" customHeight="1" x14ac:dyDescent="0.3">
      <c r="A84" s="11">
        <v>458800000</v>
      </c>
      <c r="B84" s="42"/>
      <c r="C84" s="68" t="s">
        <v>25</v>
      </c>
      <c r="D84" s="68"/>
      <c r="E84" s="26">
        <f>250000</f>
        <v>250000</v>
      </c>
      <c r="F84" s="69"/>
      <c r="G84" s="70"/>
      <c r="H84" s="70"/>
      <c r="I84" s="71"/>
    </row>
    <row r="85" spans="1:9" s="49" customFormat="1" ht="33" customHeight="1" x14ac:dyDescent="0.3">
      <c r="A85" s="11">
        <v>454600000</v>
      </c>
      <c r="B85" s="42"/>
      <c r="C85" s="68" t="s">
        <v>57</v>
      </c>
      <c r="D85" s="68"/>
      <c r="E85" s="26">
        <f>50000</f>
        <v>50000</v>
      </c>
      <c r="F85" s="69"/>
      <c r="G85" s="70"/>
      <c r="H85" s="70"/>
      <c r="I85" s="71"/>
    </row>
    <row r="86" spans="1:9" s="49" customFormat="1" ht="33" customHeight="1" x14ac:dyDescent="0.3">
      <c r="A86" s="11">
        <v>452400000</v>
      </c>
      <c r="B86" s="42"/>
      <c r="C86" s="68" t="s">
        <v>45</v>
      </c>
      <c r="D86" s="68"/>
      <c r="E86" s="26">
        <f>20000</f>
        <v>20000</v>
      </c>
      <c r="F86" s="69"/>
      <c r="G86" s="70"/>
      <c r="H86" s="70"/>
      <c r="I86" s="71"/>
    </row>
    <row r="87" spans="1:9" s="49" customFormat="1" ht="33" customHeight="1" x14ac:dyDescent="0.3">
      <c r="A87" s="11">
        <v>455500000</v>
      </c>
      <c r="B87" s="42"/>
      <c r="C87" s="68" t="s">
        <v>61</v>
      </c>
      <c r="D87" s="68"/>
      <c r="E87" s="26">
        <f>205000</f>
        <v>205000</v>
      </c>
      <c r="F87" s="69"/>
      <c r="G87" s="70"/>
      <c r="H87" s="70"/>
      <c r="I87" s="71"/>
    </row>
    <row r="88" spans="1:9" s="49" customFormat="1" ht="33" customHeight="1" x14ac:dyDescent="0.3">
      <c r="A88" s="11">
        <v>454800000</v>
      </c>
      <c r="B88" s="42"/>
      <c r="C88" s="68" t="s">
        <v>244</v>
      </c>
      <c r="D88" s="68"/>
      <c r="E88" s="26">
        <f>30000</f>
        <v>30000</v>
      </c>
      <c r="F88" s="69"/>
      <c r="G88" s="70"/>
      <c r="H88" s="70"/>
      <c r="I88" s="71"/>
    </row>
    <row r="89" spans="1:9" s="49" customFormat="1" ht="33" customHeight="1" x14ac:dyDescent="0.3">
      <c r="A89" s="11">
        <v>451500000</v>
      </c>
      <c r="B89" s="42"/>
      <c r="C89" s="68" t="s">
        <v>39</v>
      </c>
      <c r="D89" s="68"/>
      <c r="E89" s="26">
        <f>1034482</f>
        <v>1034482</v>
      </c>
      <c r="F89" s="69"/>
      <c r="G89" s="70"/>
      <c r="H89" s="70"/>
      <c r="I89" s="71"/>
    </row>
    <row r="90" spans="1:9" s="50" customFormat="1" ht="33" customHeight="1" x14ac:dyDescent="0.3">
      <c r="A90" s="11">
        <v>459000000</v>
      </c>
      <c r="B90" s="42"/>
      <c r="C90" s="68" t="s">
        <v>100</v>
      </c>
      <c r="D90" s="68"/>
      <c r="E90" s="26">
        <f>70000</f>
        <v>70000</v>
      </c>
      <c r="F90" s="69"/>
      <c r="G90" s="70"/>
      <c r="H90" s="70"/>
      <c r="I90" s="71"/>
    </row>
    <row r="91" spans="1:9" s="50" customFormat="1" ht="33" customHeight="1" x14ac:dyDescent="0.3">
      <c r="A91" s="11">
        <v>451300000</v>
      </c>
      <c r="B91" s="42"/>
      <c r="C91" s="68" t="s">
        <v>38</v>
      </c>
      <c r="D91" s="68"/>
      <c r="E91" s="26">
        <f>55000</f>
        <v>55000</v>
      </c>
      <c r="F91" s="69"/>
      <c r="G91" s="70"/>
      <c r="H91" s="70"/>
      <c r="I91" s="71"/>
    </row>
    <row r="92" spans="1:9" s="50" customFormat="1" ht="33" customHeight="1" x14ac:dyDescent="0.3">
      <c r="A92" s="11">
        <v>452500000</v>
      </c>
      <c r="B92" s="42"/>
      <c r="C92" s="68" t="s">
        <v>46</v>
      </c>
      <c r="D92" s="68"/>
      <c r="E92" s="26">
        <f>90000</f>
        <v>90000</v>
      </c>
      <c r="F92" s="69"/>
      <c r="G92" s="70"/>
      <c r="H92" s="70"/>
      <c r="I92" s="71"/>
    </row>
    <row r="93" spans="1:9" s="50" customFormat="1" ht="33" customHeight="1" x14ac:dyDescent="0.3">
      <c r="A93" s="11" t="s">
        <v>197</v>
      </c>
      <c r="B93" s="42"/>
      <c r="C93" s="68" t="s">
        <v>198</v>
      </c>
      <c r="D93" s="68"/>
      <c r="E93" s="26">
        <f>250000</f>
        <v>250000</v>
      </c>
      <c r="F93" s="69"/>
      <c r="G93" s="70"/>
      <c r="H93" s="70"/>
      <c r="I93" s="71"/>
    </row>
    <row r="94" spans="1:9" s="50" customFormat="1" ht="33" customHeight="1" x14ac:dyDescent="0.3">
      <c r="A94" s="11">
        <v>452600000</v>
      </c>
      <c r="B94" s="42"/>
      <c r="C94" s="68" t="s">
        <v>47</v>
      </c>
      <c r="D94" s="68"/>
      <c r="E94" s="26">
        <f>327241</f>
        <v>327241</v>
      </c>
      <c r="F94" s="69"/>
      <c r="G94" s="70"/>
      <c r="H94" s="70"/>
      <c r="I94" s="71"/>
    </row>
    <row r="95" spans="1:9" s="50" customFormat="1" ht="33" customHeight="1" x14ac:dyDescent="0.3">
      <c r="A95" s="11">
        <v>454200000</v>
      </c>
      <c r="B95" s="42"/>
      <c r="C95" s="68" t="s">
        <v>55</v>
      </c>
      <c r="D95" s="68"/>
      <c r="E95" s="26">
        <f>70000</f>
        <v>70000</v>
      </c>
      <c r="F95" s="69"/>
      <c r="G95" s="70"/>
      <c r="H95" s="70"/>
      <c r="I95" s="71"/>
    </row>
    <row r="96" spans="1:9" s="50" customFormat="1" ht="33" customHeight="1" x14ac:dyDescent="0.3">
      <c r="A96" s="11">
        <v>455400000</v>
      </c>
      <c r="B96" s="42"/>
      <c r="C96" s="68" t="s">
        <v>237</v>
      </c>
      <c r="D96" s="68"/>
      <c r="E96" s="26">
        <f>100000</f>
        <v>100000</v>
      </c>
      <c r="F96" s="69"/>
      <c r="G96" s="70"/>
      <c r="H96" s="70"/>
      <c r="I96" s="71"/>
    </row>
    <row r="97" spans="1:9" s="50" customFormat="1" ht="33" customHeight="1" x14ac:dyDescent="0.3">
      <c r="A97" s="11">
        <v>452700000</v>
      </c>
      <c r="B97" s="42"/>
      <c r="C97" s="68" t="s">
        <v>48</v>
      </c>
      <c r="D97" s="68"/>
      <c r="E97" s="26">
        <f>1474482</f>
        <v>1474482</v>
      </c>
      <c r="F97" s="69"/>
      <c r="G97" s="70"/>
      <c r="H97" s="70"/>
      <c r="I97" s="71"/>
    </row>
    <row r="98" spans="1:9" s="50" customFormat="1" ht="33" customHeight="1" x14ac:dyDescent="0.3">
      <c r="A98" s="11">
        <v>454000000</v>
      </c>
      <c r="B98" s="42"/>
      <c r="C98" s="68" t="s">
        <v>54</v>
      </c>
      <c r="D98" s="68"/>
      <c r="E98" s="26">
        <f>395482</f>
        <v>395482</v>
      </c>
      <c r="F98" s="69"/>
      <c r="G98" s="70"/>
      <c r="H98" s="70"/>
      <c r="I98" s="71"/>
    </row>
    <row r="99" spans="1:9" s="50" customFormat="1" ht="33" customHeight="1" x14ac:dyDescent="0.3">
      <c r="A99" s="11">
        <v>455100000</v>
      </c>
      <c r="B99" s="42"/>
      <c r="C99" s="68" t="s">
        <v>59</v>
      </c>
      <c r="D99" s="68"/>
      <c r="E99" s="26">
        <f>288964</f>
        <v>288964</v>
      </c>
      <c r="F99" s="69"/>
      <c r="G99" s="70"/>
      <c r="H99" s="70"/>
      <c r="I99" s="71"/>
    </row>
    <row r="100" spans="1:9" s="50" customFormat="1" ht="33" customHeight="1" x14ac:dyDescent="0.3">
      <c r="A100" s="11">
        <v>455200000</v>
      </c>
      <c r="B100" s="42"/>
      <c r="C100" s="68" t="s">
        <v>242</v>
      </c>
      <c r="D100" s="68"/>
      <c r="E100" s="26">
        <f>1798964</f>
        <v>1798964</v>
      </c>
      <c r="F100" s="69"/>
      <c r="G100" s="70"/>
      <c r="H100" s="70"/>
      <c r="I100" s="71"/>
    </row>
    <row r="101" spans="1:9" s="49" customFormat="1" ht="33" customHeight="1" x14ac:dyDescent="0.3">
      <c r="A101" s="11">
        <v>454700000</v>
      </c>
      <c r="B101" s="42"/>
      <c r="C101" s="68" t="s">
        <v>236</v>
      </c>
      <c r="D101" s="68"/>
      <c r="E101" s="26">
        <f>50000</f>
        <v>50000</v>
      </c>
      <c r="F101" s="69"/>
      <c r="G101" s="70"/>
      <c r="H101" s="70"/>
      <c r="I101" s="71"/>
    </row>
    <row r="102" spans="1:9" s="4" customFormat="1" ht="33" customHeight="1" x14ac:dyDescent="0.3">
      <c r="A102" s="72"/>
      <c r="B102" s="72"/>
      <c r="C102" s="80" t="s">
        <v>125</v>
      </c>
      <c r="D102" s="80"/>
      <c r="E102" s="27"/>
      <c r="F102" s="73"/>
      <c r="G102" s="73"/>
      <c r="H102" s="73"/>
      <c r="I102" s="73"/>
    </row>
    <row r="103" spans="1:9" s="6" customFormat="1" ht="64.5" customHeight="1" x14ac:dyDescent="0.3">
      <c r="A103" s="16" t="s">
        <v>97</v>
      </c>
      <c r="B103" s="17">
        <v>9770</v>
      </c>
      <c r="C103" s="82" t="s">
        <v>106</v>
      </c>
      <c r="D103" s="82"/>
      <c r="E103" s="24">
        <f>SUM(E104:E110)</f>
        <v>3500000</v>
      </c>
      <c r="F103" s="77" t="s">
        <v>225</v>
      </c>
      <c r="G103" s="78"/>
      <c r="H103" s="78"/>
      <c r="I103" s="79"/>
    </row>
    <row r="104" spans="1:9" ht="33" customHeight="1" x14ac:dyDescent="0.3">
      <c r="A104" s="11" t="s">
        <v>113</v>
      </c>
      <c r="B104" s="32"/>
      <c r="C104" s="68" t="s">
        <v>107</v>
      </c>
      <c r="D104" s="68"/>
      <c r="E104" s="26">
        <f>F104</f>
        <v>500000</v>
      </c>
      <c r="F104" s="74">
        <f>500000</f>
        <v>500000</v>
      </c>
      <c r="G104" s="75"/>
      <c r="H104" s="75"/>
      <c r="I104" s="76"/>
    </row>
    <row r="105" spans="1:9" ht="33" customHeight="1" x14ac:dyDescent="0.3">
      <c r="A105" s="11" t="s">
        <v>119</v>
      </c>
      <c r="B105" s="32"/>
      <c r="C105" s="68" t="s">
        <v>112</v>
      </c>
      <c r="D105" s="68"/>
      <c r="E105" s="26">
        <f t="shared" ref="E105:E110" si="0">F105</f>
        <v>500000</v>
      </c>
      <c r="F105" s="74">
        <f>500000</f>
        <v>500000</v>
      </c>
      <c r="G105" s="75"/>
      <c r="H105" s="75"/>
      <c r="I105" s="76"/>
    </row>
    <row r="106" spans="1:9" ht="33" customHeight="1" x14ac:dyDescent="0.3">
      <c r="A106" s="11" t="s">
        <v>114</v>
      </c>
      <c r="B106" s="32"/>
      <c r="C106" s="68" t="s">
        <v>108</v>
      </c>
      <c r="D106" s="68"/>
      <c r="E106" s="26">
        <f t="shared" si="0"/>
        <v>500000</v>
      </c>
      <c r="F106" s="74">
        <f>500000</f>
        <v>500000</v>
      </c>
      <c r="G106" s="75"/>
      <c r="H106" s="75"/>
      <c r="I106" s="76"/>
    </row>
    <row r="107" spans="1:9" ht="33" customHeight="1" x14ac:dyDescent="0.3">
      <c r="A107" s="11" t="s">
        <v>115</v>
      </c>
      <c r="B107" s="32"/>
      <c r="C107" s="68" t="s">
        <v>109</v>
      </c>
      <c r="D107" s="68"/>
      <c r="E107" s="26">
        <f t="shared" si="0"/>
        <v>500000</v>
      </c>
      <c r="F107" s="74">
        <f t="shared" ref="F107:F110" si="1">500000</f>
        <v>500000</v>
      </c>
      <c r="G107" s="75"/>
      <c r="H107" s="75"/>
      <c r="I107" s="76"/>
    </row>
    <row r="108" spans="1:9" ht="33" customHeight="1" x14ac:dyDescent="0.3">
      <c r="A108" s="11" t="s">
        <v>117</v>
      </c>
      <c r="B108" s="32"/>
      <c r="C108" s="68" t="s">
        <v>110</v>
      </c>
      <c r="D108" s="68"/>
      <c r="E108" s="26">
        <f t="shared" si="0"/>
        <v>500000</v>
      </c>
      <c r="F108" s="74">
        <f t="shared" si="1"/>
        <v>500000</v>
      </c>
      <c r="G108" s="75"/>
      <c r="H108" s="75"/>
      <c r="I108" s="76"/>
    </row>
    <row r="109" spans="1:9" ht="33" customHeight="1" x14ac:dyDescent="0.3">
      <c r="A109" s="11" t="s">
        <v>116</v>
      </c>
      <c r="B109" s="32"/>
      <c r="C109" s="68" t="s">
        <v>129</v>
      </c>
      <c r="D109" s="68"/>
      <c r="E109" s="26">
        <f>F109</f>
        <v>500000</v>
      </c>
      <c r="F109" s="74">
        <f t="shared" si="1"/>
        <v>500000</v>
      </c>
      <c r="G109" s="75"/>
      <c r="H109" s="75"/>
      <c r="I109" s="76"/>
    </row>
    <row r="110" spans="1:9" ht="33" customHeight="1" x14ac:dyDescent="0.3">
      <c r="A110" s="11" t="s">
        <v>118</v>
      </c>
      <c r="B110" s="32"/>
      <c r="C110" s="68" t="s">
        <v>111</v>
      </c>
      <c r="D110" s="68"/>
      <c r="E110" s="26">
        <f t="shared" si="0"/>
        <v>500000</v>
      </c>
      <c r="F110" s="74">
        <f t="shared" si="1"/>
        <v>500000</v>
      </c>
      <c r="G110" s="75"/>
      <c r="H110" s="75"/>
      <c r="I110" s="76"/>
    </row>
    <row r="111" spans="1:9" s="4" customFormat="1" ht="39.75" customHeight="1" x14ac:dyDescent="0.3">
      <c r="A111" s="81"/>
      <c r="B111" s="81"/>
      <c r="C111" s="83" t="s">
        <v>126</v>
      </c>
      <c r="D111" s="83"/>
      <c r="E111" s="27"/>
      <c r="F111" s="73"/>
      <c r="G111" s="73"/>
      <c r="H111" s="73"/>
      <c r="I111" s="73"/>
    </row>
    <row r="112" spans="1:9" ht="58.5" customHeight="1" x14ac:dyDescent="0.3">
      <c r="A112" s="31" t="s">
        <v>74</v>
      </c>
      <c r="B112" s="17">
        <v>9770</v>
      </c>
      <c r="C112" s="89" t="s">
        <v>99</v>
      </c>
      <c r="D112" s="90"/>
      <c r="E112" s="28">
        <f>SUM(E113:E187)</f>
        <v>5485800</v>
      </c>
      <c r="F112" s="69"/>
      <c r="G112" s="70"/>
      <c r="H112" s="70"/>
      <c r="I112" s="71"/>
    </row>
    <row r="113" spans="1:9" ht="33" customHeight="1" x14ac:dyDescent="0.3">
      <c r="A113" s="11">
        <v>457400000</v>
      </c>
      <c r="B113" s="36"/>
      <c r="C113" s="84" t="s">
        <v>14</v>
      </c>
      <c r="D113" s="85"/>
      <c r="E113" s="26">
        <f>23850</f>
        <v>23850</v>
      </c>
      <c r="F113" s="69"/>
      <c r="G113" s="70"/>
      <c r="H113" s="70"/>
      <c r="I113" s="71"/>
    </row>
    <row r="114" spans="1:9" ht="33" customHeight="1" x14ac:dyDescent="0.3">
      <c r="A114" s="11">
        <v>457600000</v>
      </c>
      <c r="B114" s="36"/>
      <c r="C114" s="68" t="s">
        <v>16</v>
      </c>
      <c r="D114" s="68"/>
      <c r="E114" s="26">
        <f>2146500</f>
        <v>2146500</v>
      </c>
      <c r="F114" s="69"/>
      <c r="G114" s="70"/>
      <c r="H114" s="70"/>
      <c r="I114" s="71"/>
    </row>
    <row r="115" spans="1:9" ht="33" customHeight="1" x14ac:dyDescent="0.3">
      <c r="A115" s="11">
        <v>457700000</v>
      </c>
      <c r="B115" s="36"/>
      <c r="C115" s="68" t="s">
        <v>17</v>
      </c>
      <c r="D115" s="68"/>
      <c r="E115" s="26">
        <f>102555</f>
        <v>102555</v>
      </c>
      <c r="F115" s="69"/>
      <c r="G115" s="70"/>
      <c r="H115" s="70"/>
      <c r="I115" s="71"/>
    </row>
    <row r="116" spans="1:9" ht="33" customHeight="1" x14ac:dyDescent="0.3">
      <c r="A116" s="11">
        <v>457100000</v>
      </c>
      <c r="B116" s="36"/>
      <c r="C116" s="68" t="s">
        <v>101</v>
      </c>
      <c r="D116" s="68"/>
      <c r="E116" s="26">
        <f>395910</f>
        <v>395910</v>
      </c>
      <c r="F116" s="69"/>
      <c r="G116" s="70"/>
      <c r="H116" s="70"/>
      <c r="I116" s="71"/>
    </row>
    <row r="117" spans="1:9" ht="33" customHeight="1" x14ac:dyDescent="0.3">
      <c r="A117" s="11">
        <v>457810000</v>
      </c>
      <c r="B117" s="36"/>
      <c r="C117" s="68" t="s">
        <v>18</v>
      </c>
      <c r="D117" s="68"/>
      <c r="E117" s="26">
        <f>861285</f>
        <v>861285</v>
      </c>
      <c r="F117" s="69"/>
      <c r="G117" s="70"/>
      <c r="H117" s="70"/>
      <c r="I117" s="71"/>
    </row>
    <row r="118" spans="1:9" ht="33" customHeight="1" x14ac:dyDescent="0.3">
      <c r="A118" s="11">
        <v>456100000</v>
      </c>
      <c r="B118" s="36"/>
      <c r="C118" s="68" t="s">
        <v>28</v>
      </c>
      <c r="D118" s="68"/>
      <c r="E118" s="26">
        <f>52470</f>
        <v>52470</v>
      </c>
      <c r="F118" s="69"/>
      <c r="G118" s="70"/>
      <c r="H118" s="70"/>
      <c r="I118" s="71"/>
    </row>
    <row r="119" spans="1:9" ht="33" customHeight="1" x14ac:dyDescent="0.3">
      <c r="A119" s="11">
        <v>458100000</v>
      </c>
      <c r="B119" s="36"/>
      <c r="C119" s="68" t="s">
        <v>20</v>
      </c>
      <c r="D119" s="68"/>
      <c r="E119" s="26">
        <f>109710</f>
        <v>109710</v>
      </c>
      <c r="F119" s="69"/>
      <c r="G119" s="70"/>
      <c r="H119" s="70"/>
      <c r="I119" s="71"/>
    </row>
    <row r="120" spans="1:9" ht="33" customHeight="1" x14ac:dyDescent="0.3">
      <c r="A120" s="11">
        <v>458400000</v>
      </c>
      <c r="B120" s="32"/>
      <c r="C120" s="68" t="s">
        <v>22</v>
      </c>
      <c r="D120" s="68"/>
      <c r="E120" s="26">
        <f>202725</f>
        <v>202725</v>
      </c>
      <c r="F120" s="69"/>
      <c r="G120" s="70"/>
      <c r="H120" s="70"/>
      <c r="I120" s="71"/>
    </row>
    <row r="121" spans="1:9" ht="33" customHeight="1" x14ac:dyDescent="0.3">
      <c r="A121" s="11">
        <v>456200000</v>
      </c>
      <c r="B121" s="32"/>
      <c r="C121" s="68" t="s">
        <v>29</v>
      </c>
      <c r="D121" s="68"/>
      <c r="E121" s="26">
        <f>83475</f>
        <v>83475</v>
      </c>
      <c r="F121" s="69"/>
      <c r="G121" s="70"/>
      <c r="H121" s="70"/>
      <c r="I121" s="71"/>
    </row>
    <row r="122" spans="1:9" ht="33" customHeight="1" x14ac:dyDescent="0.3">
      <c r="A122" s="11">
        <v>458200000</v>
      </c>
      <c r="B122" s="32"/>
      <c r="C122" s="68" t="s">
        <v>239</v>
      </c>
      <c r="D122" s="68"/>
      <c r="E122" s="26">
        <f>147870</f>
        <v>147870</v>
      </c>
      <c r="F122" s="69"/>
      <c r="G122" s="70"/>
      <c r="H122" s="70"/>
      <c r="I122" s="71"/>
    </row>
    <row r="123" spans="1:9" ht="33" customHeight="1" x14ac:dyDescent="0.3">
      <c r="A123" s="11">
        <v>458900000</v>
      </c>
      <c r="B123" s="32"/>
      <c r="C123" s="68" t="s">
        <v>26</v>
      </c>
      <c r="D123" s="68"/>
      <c r="E123" s="26">
        <f>59625</f>
        <v>59625</v>
      </c>
      <c r="F123" s="69"/>
      <c r="G123" s="70"/>
      <c r="H123" s="70"/>
      <c r="I123" s="71"/>
    </row>
    <row r="124" spans="1:9" ht="33" customHeight="1" x14ac:dyDescent="0.3">
      <c r="A124" s="11">
        <v>459100000</v>
      </c>
      <c r="B124" s="32"/>
      <c r="C124" s="68" t="s">
        <v>27</v>
      </c>
      <c r="D124" s="68"/>
      <c r="E124" s="26">
        <f>40545</f>
        <v>40545</v>
      </c>
      <c r="F124" s="69"/>
      <c r="G124" s="70"/>
      <c r="H124" s="70"/>
      <c r="I124" s="71"/>
    </row>
    <row r="125" spans="1:9" ht="33" customHeight="1" x14ac:dyDescent="0.3">
      <c r="A125" s="11">
        <v>458500000</v>
      </c>
      <c r="B125" s="36"/>
      <c r="C125" s="68" t="s">
        <v>243</v>
      </c>
      <c r="D125" s="68"/>
      <c r="E125" s="26">
        <f>19080</f>
        <v>19080</v>
      </c>
      <c r="F125" s="69"/>
      <c r="G125" s="70"/>
      <c r="H125" s="70"/>
      <c r="I125" s="71"/>
    </row>
    <row r="126" spans="1:9" ht="33" customHeight="1" x14ac:dyDescent="0.3">
      <c r="A126" s="11">
        <v>450100000</v>
      </c>
      <c r="B126" s="32"/>
      <c r="C126" s="68" t="s">
        <v>30</v>
      </c>
      <c r="D126" s="68"/>
      <c r="E126" s="26">
        <f>54855</f>
        <v>54855</v>
      </c>
      <c r="F126" s="69"/>
      <c r="G126" s="70"/>
      <c r="H126" s="70"/>
      <c r="I126" s="71"/>
    </row>
    <row r="127" spans="1:9" ht="33" customHeight="1" x14ac:dyDescent="0.3">
      <c r="A127" s="11">
        <v>450200000</v>
      </c>
      <c r="B127" s="32"/>
      <c r="C127" s="68" t="s">
        <v>31</v>
      </c>
      <c r="D127" s="68"/>
      <c r="E127" s="26">
        <f>7155</f>
        <v>7155</v>
      </c>
      <c r="F127" s="69"/>
      <c r="G127" s="70"/>
      <c r="H127" s="70"/>
      <c r="I127" s="71"/>
    </row>
    <row r="128" spans="1:9" ht="33" customHeight="1" x14ac:dyDescent="0.3">
      <c r="A128" s="11">
        <v>451800000</v>
      </c>
      <c r="B128" s="32"/>
      <c r="C128" s="68" t="s">
        <v>32</v>
      </c>
      <c r="D128" s="68"/>
      <c r="E128" s="26">
        <f>19080</f>
        <v>19080</v>
      </c>
      <c r="F128" s="69"/>
      <c r="G128" s="70"/>
      <c r="H128" s="70"/>
      <c r="I128" s="71"/>
    </row>
    <row r="129" spans="1:9" ht="33" customHeight="1" x14ac:dyDescent="0.3">
      <c r="A129" s="11">
        <v>457200000</v>
      </c>
      <c r="B129" s="32"/>
      <c r="C129" s="84" t="s">
        <v>238</v>
      </c>
      <c r="D129" s="85"/>
      <c r="E129" s="26">
        <f>11925</f>
        <v>11925</v>
      </c>
      <c r="F129" s="69"/>
      <c r="G129" s="70"/>
      <c r="H129" s="70"/>
      <c r="I129" s="71"/>
    </row>
    <row r="130" spans="1:9" ht="33" customHeight="1" x14ac:dyDescent="0.3">
      <c r="A130" s="11">
        <v>451900000</v>
      </c>
      <c r="B130" s="32"/>
      <c r="C130" s="68" t="s">
        <v>41</v>
      </c>
      <c r="D130" s="68"/>
      <c r="E130" s="26">
        <f>88245</f>
        <v>88245</v>
      </c>
      <c r="F130" s="69"/>
      <c r="G130" s="70"/>
      <c r="H130" s="70"/>
      <c r="I130" s="71"/>
    </row>
    <row r="131" spans="1:9" ht="33" customHeight="1" x14ac:dyDescent="0.3">
      <c r="A131" s="11">
        <v>452900000</v>
      </c>
      <c r="B131" s="32"/>
      <c r="C131" s="68" t="s">
        <v>49</v>
      </c>
      <c r="D131" s="68"/>
      <c r="E131" s="26">
        <f>4770</f>
        <v>4770</v>
      </c>
      <c r="F131" s="69"/>
      <c r="G131" s="70"/>
      <c r="H131" s="70"/>
      <c r="I131" s="71"/>
    </row>
    <row r="132" spans="1:9" ht="33" customHeight="1" x14ac:dyDescent="0.3">
      <c r="A132" s="11">
        <v>450300000</v>
      </c>
      <c r="B132" s="32"/>
      <c r="C132" s="68" t="s">
        <v>33</v>
      </c>
      <c r="D132" s="68"/>
      <c r="E132" s="26">
        <f>19080</f>
        <v>19080</v>
      </c>
      <c r="F132" s="69"/>
      <c r="G132" s="70"/>
      <c r="H132" s="70"/>
      <c r="I132" s="71"/>
    </row>
    <row r="133" spans="1:9" ht="33" customHeight="1" x14ac:dyDescent="0.3">
      <c r="A133" s="11">
        <v>457300000</v>
      </c>
      <c r="B133" s="32"/>
      <c r="C133" s="68" t="s">
        <v>93</v>
      </c>
      <c r="D133" s="68"/>
      <c r="E133" s="26">
        <f>2385</f>
        <v>2385</v>
      </c>
      <c r="F133" s="69"/>
      <c r="G133" s="70"/>
      <c r="H133" s="70"/>
      <c r="I133" s="71"/>
    </row>
    <row r="134" spans="1:9" ht="33" customHeight="1" x14ac:dyDescent="0.3">
      <c r="A134" s="11">
        <v>453600000</v>
      </c>
      <c r="B134" s="32"/>
      <c r="C134" s="68" t="s">
        <v>52</v>
      </c>
      <c r="D134" s="68"/>
      <c r="E134" s="26">
        <f>83475</f>
        <v>83475</v>
      </c>
      <c r="F134" s="69"/>
      <c r="G134" s="70"/>
      <c r="H134" s="70"/>
      <c r="I134" s="71"/>
    </row>
    <row r="135" spans="1:9" ht="33" customHeight="1" x14ac:dyDescent="0.3">
      <c r="A135" s="11">
        <v>452000000</v>
      </c>
      <c r="B135" s="32"/>
      <c r="C135" s="68" t="s">
        <v>42</v>
      </c>
      <c r="D135" s="68"/>
      <c r="E135" s="26">
        <f>9540</f>
        <v>9540</v>
      </c>
      <c r="F135" s="69"/>
      <c r="G135" s="70"/>
      <c r="H135" s="70"/>
      <c r="I135" s="71"/>
    </row>
    <row r="136" spans="1:9" ht="33" customHeight="1" x14ac:dyDescent="0.3">
      <c r="A136" s="11">
        <v>456300000</v>
      </c>
      <c r="B136" s="32"/>
      <c r="C136" s="68" t="s">
        <v>7</v>
      </c>
      <c r="D136" s="68"/>
      <c r="E136" s="26">
        <f>4770</f>
        <v>4770</v>
      </c>
      <c r="F136" s="69"/>
      <c r="G136" s="70"/>
      <c r="H136" s="70"/>
      <c r="I136" s="71"/>
    </row>
    <row r="137" spans="1:9" ht="33" customHeight="1" x14ac:dyDescent="0.3">
      <c r="A137" s="11">
        <v>453000000</v>
      </c>
      <c r="B137" s="32"/>
      <c r="C137" s="68" t="s">
        <v>50</v>
      </c>
      <c r="D137" s="68"/>
      <c r="E137" s="26">
        <f>7155</f>
        <v>7155</v>
      </c>
      <c r="F137" s="69"/>
      <c r="G137" s="70"/>
      <c r="H137" s="70"/>
      <c r="I137" s="71"/>
    </row>
    <row r="138" spans="1:9" ht="33" customHeight="1" x14ac:dyDescent="0.3">
      <c r="A138" s="11">
        <v>450700000</v>
      </c>
      <c r="B138" s="32"/>
      <c r="C138" s="68" t="s">
        <v>35</v>
      </c>
      <c r="D138" s="68"/>
      <c r="E138" s="26">
        <f>16695</f>
        <v>16695</v>
      </c>
      <c r="F138" s="69"/>
      <c r="G138" s="70"/>
      <c r="H138" s="70"/>
      <c r="I138" s="71"/>
    </row>
    <row r="139" spans="1:9" ht="33" customHeight="1" x14ac:dyDescent="0.3">
      <c r="A139" s="11">
        <v>457500000</v>
      </c>
      <c r="B139" s="36"/>
      <c r="C139" s="68" t="s">
        <v>15</v>
      </c>
      <c r="D139" s="68"/>
      <c r="E139" s="26">
        <f>19080</f>
        <v>19080</v>
      </c>
      <c r="F139" s="69"/>
      <c r="G139" s="70"/>
      <c r="H139" s="70"/>
      <c r="I139" s="71"/>
    </row>
    <row r="140" spans="1:9" ht="33" customHeight="1" x14ac:dyDescent="0.3">
      <c r="A140" s="11">
        <v>455600000</v>
      </c>
      <c r="B140" s="36"/>
      <c r="C140" s="68" t="s">
        <v>62</v>
      </c>
      <c r="D140" s="68"/>
      <c r="E140" s="26">
        <f>7155</f>
        <v>7155</v>
      </c>
      <c r="F140" s="69"/>
      <c r="G140" s="70"/>
      <c r="H140" s="70"/>
      <c r="I140" s="71"/>
    </row>
    <row r="141" spans="1:9" ht="33" customHeight="1" x14ac:dyDescent="0.3">
      <c r="A141" s="11">
        <v>453500000</v>
      </c>
      <c r="B141" s="36"/>
      <c r="C141" s="68" t="s">
        <v>6</v>
      </c>
      <c r="D141" s="68"/>
      <c r="E141" s="26">
        <f>21465</f>
        <v>21465</v>
      </c>
      <c r="F141" s="69"/>
      <c r="G141" s="70"/>
      <c r="H141" s="70"/>
      <c r="I141" s="71"/>
    </row>
    <row r="142" spans="1:9" ht="33" customHeight="1" x14ac:dyDescent="0.3">
      <c r="A142" s="11">
        <v>456400000</v>
      </c>
      <c r="B142" s="36"/>
      <c r="C142" s="68" t="s">
        <v>8</v>
      </c>
      <c r="D142" s="68"/>
      <c r="E142" s="26">
        <f>2385</f>
        <v>2385</v>
      </c>
      <c r="F142" s="69"/>
      <c r="G142" s="70"/>
      <c r="H142" s="70"/>
      <c r="I142" s="71"/>
    </row>
    <row r="143" spans="1:9" s="6" customFormat="1" ht="33" customHeight="1" x14ac:dyDescent="0.3">
      <c r="A143" s="11" t="s">
        <v>140</v>
      </c>
      <c r="B143" s="36"/>
      <c r="C143" s="68" t="s">
        <v>141</v>
      </c>
      <c r="D143" s="68"/>
      <c r="E143" s="26">
        <f>2385</f>
        <v>2385</v>
      </c>
      <c r="F143" s="69"/>
      <c r="G143" s="70"/>
      <c r="H143" s="70"/>
      <c r="I143" s="71"/>
    </row>
    <row r="144" spans="1:9" ht="33" customHeight="1" x14ac:dyDescent="0.3">
      <c r="A144" s="11">
        <v>450600000</v>
      </c>
      <c r="B144" s="36"/>
      <c r="C144" s="68" t="s">
        <v>34</v>
      </c>
      <c r="D144" s="68"/>
      <c r="E144" s="26">
        <f>16695</f>
        <v>16695</v>
      </c>
      <c r="F144" s="69"/>
      <c r="G144" s="70"/>
      <c r="H144" s="70"/>
      <c r="I144" s="71"/>
    </row>
    <row r="145" spans="1:9" ht="33" customHeight="1" x14ac:dyDescent="0.3">
      <c r="A145" s="11">
        <v>455000000</v>
      </c>
      <c r="B145" s="36"/>
      <c r="C145" s="68" t="s">
        <v>58</v>
      </c>
      <c r="D145" s="68"/>
      <c r="E145" s="26">
        <f>2385</f>
        <v>2385</v>
      </c>
      <c r="F145" s="69"/>
      <c r="G145" s="70"/>
      <c r="H145" s="70"/>
      <c r="I145" s="71"/>
    </row>
    <row r="146" spans="1:9" ht="33" customHeight="1" x14ac:dyDescent="0.3">
      <c r="A146" s="11">
        <v>452100000</v>
      </c>
      <c r="B146" s="36"/>
      <c r="C146" s="68" t="s">
        <v>43</v>
      </c>
      <c r="D146" s="68"/>
      <c r="E146" s="26">
        <f>23850</f>
        <v>23850</v>
      </c>
      <c r="F146" s="69"/>
      <c r="G146" s="70"/>
      <c r="H146" s="70"/>
      <c r="I146" s="71"/>
    </row>
    <row r="147" spans="1:9" ht="33" customHeight="1" x14ac:dyDescent="0.3">
      <c r="A147" s="11">
        <v>455700000</v>
      </c>
      <c r="B147" s="36"/>
      <c r="C147" s="68" t="s">
        <v>63</v>
      </c>
      <c r="D147" s="68"/>
      <c r="E147" s="26">
        <f>7155</f>
        <v>7155</v>
      </c>
      <c r="F147" s="69"/>
      <c r="G147" s="70"/>
      <c r="H147" s="70"/>
      <c r="I147" s="71"/>
    </row>
    <row r="148" spans="1:9" ht="33" customHeight="1" x14ac:dyDescent="0.3">
      <c r="A148" s="11">
        <v>457900000</v>
      </c>
      <c r="B148" s="32"/>
      <c r="C148" s="68" t="s">
        <v>19</v>
      </c>
      <c r="D148" s="68"/>
      <c r="E148" s="26">
        <f>14310</f>
        <v>14310</v>
      </c>
      <c r="F148" s="69"/>
      <c r="G148" s="70"/>
      <c r="H148" s="70"/>
      <c r="I148" s="71"/>
    </row>
    <row r="149" spans="1:9" ht="33" customHeight="1" x14ac:dyDescent="0.3">
      <c r="A149" s="11">
        <v>455300000</v>
      </c>
      <c r="B149" s="32"/>
      <c r="C149" s="68" t="s">
        <v>60</v>
      </c>
      <c r="D149" s="68"/>
      <c r="E149" s="26">
        <f>2385</f>
        <v>2385</v>
      </c>
      <c r="F149" s="69"/>
      <c r="G149" s="70"/>
      <c r="H149" s="70"/>
      <c r="I149" s="71"/>
    </row>
    <row r="150" spans="1:9" ht="33" customHeight="1" x14ac:dyDescent="0.3">
      <c r="A150" s="11">
        <v>456500000</v>
      </c>
      <c r="B150" s="32"/>
      <c r="C150" s="68" t="s">
        <v>9</v>
      </c>
      <c r="D150" s="68"/>
      <c r="E150" s="26">
        <f>23850</f>
        <v>23850</v>
      </c>
      <c r="F150" s="69"/>
      <c r="G150" s="70"/>
      <c r="H150" s="70"/>
      <c r="I150" s="71"/>
    </row>
    <row r="151" spans="1:9" ht="33" customHeight="1" x14ac:dyDescent="0.3">
      <c r="A151" s="11">
        <v>453100000</v>
      </c>
      <c r="B151" s="32"/>
      <c r="C151" s="68" t="s">
        <v>51</v>
      </c>
      <c r="D151" s="68"/>
      <c r="E151" s="26">
        <f>2385</f>
        <v>2385</v>
      </c>
      <c r="F151" s="69"/>
      <c r="G151" s="70"/>
      <c r="H151" s="70"/>
      <c r="I151" s="71"/>
    </row>
    <row r="152" spans="1:9" ht="33" customHeight="1" x14ac:dyDescent="0.3">
      <c r="A152" s="11">
        <v>454100000</v>
      </c>
      <c r="B152" s="32"/>
      <c r="C152" s="68" t="s">
        <v>66</v>
      </c>
      <c r="D152" s="68"/>
      <c r="E152" s="26">
        <f>7155</f>
        <v>7155</v>
      </c>
      <c r="F152" s="69"/>
      <c r="G152" s="70"/>
      <c r="H152" s="70"/>
      <c r="I152" s="71"/>
    </row>
    <row r="153" spans="1:9" ht="33" customHeight="1" x14ac:dyDescent="0.3">
      <c r="A153" s="11">
        <v>453700000</v>
      </c>
      <c r="B153" s="32"/>
      <c r="C153" s="68" t="s">
        <v>53</v>
      </c>
      <c r="D153" s="68"/>
      <c r="E153" s="26">
        <f>4770</f>
        <v>4770</v>
      </c>
      <c r="F153" s="69"/>
      <c r="G153" s="70"/>
      <c r="H153" s="70"/>
      <c r="I153" s="71"/>
    </row>
    <row r="154" spans="1:9" ht="33" customHeight="1" x14ac:dyDescent="0.3">
      <c r="A154" s="11">
        <v>458000000</v>
      </c>
      <c r="B154" s="32"/>
      <c r="C154" s="68" t="s">
        <v>80</v>
      </c>
      <c r="D154" s="68"/>
      <c r="E154" s="26">
        <f>4770</f>
        <v>4770</v>
      </c>
      <c r="F154" s="69"/>
      <c r="G154" s="70"/>
      <c r="H154" s="70"/>
      <c r="I154" s="71"/>
    </row>
    <row r="155" spans="1:9" ht="33" customHeight="1" x14ac:dyDescent="0.3">
      <c r="A155" s="11">
        <v>454400000</v>
      </c>
      <c r="B155" s="36"/>
      <c r="C155" s="68" t="s">
        <v>79</v>
      </c>
      <c r="D155" s="68"/>
      <c r="E155" s="26">
        <f>4770</f>
        <v>4770</v>
      </c>
      <c r="F155" s="69"/>
      <c r="G155" s="70"/>
      <c r="H155" s="70"/>
      <c r="I155" s="71"/>
    </row>
    <row r="156" spans="1:9" ht="33" customHeight="1" x14ac:dyDescent="0.3">
      <c r="A156" s="11">
        <v>451600000</v>
      </c>
      <c r="B156" s="32"/>
      <c r="C156" s="68" t="s">
        <v>40</v>
      </c>
      <c r="D156" s="68"/>
      <c r="E156" s="26">
        <f>11925</f>
        <v>11925</v>
      </c>
      <c r="F156" s="69"/>
      <c r="G156" s="70"/>
      <c r="H156" s="70"/>
      <c r="I156" s="71"/>
    </row>
    <row r="157" spans="1:9" ht="33" customHeight="1" x14ac:dyDescent="0.3">
      <c r="A157" s="11">
        <v>450900000</v>
      </c>
      <c r="B157" s="32"/>
      <c r="C157" s="68" t="s">
        <v>36</v>
      </c>
      <c r="D157" s="68"/>
      <c r="E157" s="26">
        <f>11925</f>
        <v>11925</v>
      </c>
      <c r="F157" s="69"/>
      <c r="G157" s="70"/>
      <c r="H157" s="70"/>
      <c r="I157" s="71"/>
    </row>
    <row r="158" spans="1:9" ht="33" customHeight="1" x14ac:dyDescent="0.3">
      <c r="A158" s="11">
        <v>453900000</v>
      </c>
      <c r="B158" s="36"/>
      <c r="C158" s="68" t="s">
        <v>241</v>
      </c>
      <c r="D158" s="68"/>
      <c r="E158" s="26">
        <f>2385</f>
        <v>2385</v>
      </c>
      <c r="F158" s="69"/>
      <c r="G158" s="70"/>
      <c r="H158" s="70"/>
      <c r="I158" s="71"/>
    </row>
    <row r="159" spans="1:9" ht="33" customHeight="1" x14ac:dyDescent="0.3">
      <c r="A159" s="11">
        <v>451100000</v>
      </c>
      <c r="B159" s="32"/>
      <c r="C159" s="68" t="s">
        <v>67</v>
      </c>
      <c r="D159" s="68"/>
      <c r="E159" s="26">
        <f>23850</f>
        <v>23850</v>
      </c>
      <c r="F159" s="69"/>
      <c r="G159" s="70"/>
      <c r="H159" s="70"/>
      <c r="I159" s="71"/>
    </row>
    <row r="160" spans="1:9" ht="33" customHeight="1" x14ac:dyDescent="0.3">
      <c r="A160" s="11">
        <v>458300000</v>
      </c>
      <c r="B160" s="32"/>
      <c r="C160" s="68" t="s">
        <v>21</v>
      </c>
      <c r="D160" s="68"/>
      <c r="E160" s="26">
        <f>14310</f>
        <v>14310</v>
      </c>
      <c r="F160" s="69"/>
      <c r="G160" s="70"/>
      <c r="H160" s="70"/>
      <c r="I160" s="71"/>
    </row>
    <row r="161" spans="1:9" ht="33" customHeight="1" x14ac:dyDescent="0.3">
      <c r="A161" s="11">
        <v>451200000</v>
      </c>
      <c r="B161" s="32"/>
      <c r="C161" s="68" t="s">
        <v>37</v>
      </c>
      <c r="D161" s="68"/>
      <c r="E161" s="26">
        <f>9540</f>
        <v>9540</v>
      </c>
      <c r="F161" s="69"/>
      <c r="G161" s="70"/>
      <c r="H161" s="70"/>
      <c r="I161" s="71"/>
    </row>
    <row r="162" spans="1:9" ht="33" customHeight="1" x14ac:dyDescent="0.3">
      <c r="A162" s="11">
        <v>456600000</v>
      </c>
      <c r="B162" s="32"/>
      <c r="C162" s="68" t="s">
        <v>10</v>
      </c>
      <c r="D162" s="68"/>
      <c r="E162" s="26">
        <f>28620</f>
        <v>28620</v>
      </c>
      <c r="F162" s="69"/>
      <c r="G162" s="70"/>
      <c r="H162" s="70"/>
      <c r="I162" s="71"/>
    </row>
    <row r="163" spans="1:9" ht="33" customHeight="1" x14ac:dyDescent="0.3">
      <c r="A163" s="11">
        <v>455800000</v>
      </c>
      <c r="B163" s="32"/>
      <c r="C163" s="68" t="s">
        <v>64</v>
      </c>
      <c r="D163" s="68"/>
      <c r="E163" s="26">
        <f>21465</f>
        <v>21465</v>
      </c>
      <c r="F163" s="69"/>
      <c r="G163" s="70"/>
      <c r="H163" s="70"/>
      <c r="I163" s="71"/>
    </row>
    <row r="164" spans="1:9" ht="33" customHeight="1" x14ac:dyDescent="0.3">
      <c r="A164" s="11">
        <v>454300000</v>
      </c>
      <c r="B164" s="32"/>
      <c r="C164" s="68" t="s">
        <v>56</v>
      </c>
      <c r="D164" s="68"/>
      <c r="E164" s="26">
        <f>28620</f>
        <v>28620</v>
      </c>
      <c r="F164" s="69"/>
      <c r="G164" s="70"/>
      <c r="H164" s="70"/>
      <c r="I164" s="71"/>
    </row>
    <row r="165" spans="1:9" ht="33" customHeight="1" x14ac:dyDescent="0.3">
      <c r="A165" s="11">
        <v>458600000</v>
      </c>
      <c r="B165" s="32"/>
      <c r="C165" s="68" t="s">
        <v>23</v>
      </c>
      <c r="D165" s="68"/>
      <c r="E165" s="26">
        <f>26235</f>
        <v>26235</v>
      </c>
      <c r="F165" s="69"/>
      <c r="G165" s="70"/>
      <c r="H165" s="70"/>
      <c r="I165" s="71"/>
    </row>
    <row r="166" spans="1:9" ht="33" customHeight="1" x14ac:dyDescent="0.3">
      <c r="A166" s="11">
        <v>456800000</v>
      </c>
      <c r="B166" s="32"/>
      <c r="C166" s="68" t="s">
        <v>12</v>
      </c>
      <c r="D166" s="68"/>
      <c r="E166" s="26">
        <f>38160</f>
        <v>38160</v>
      </c>
      <c r="F166" s="69"/>
      <c r="G166" s="70"/>
      <c r="H166" s="70"/>
      <c r="I166" s="71"/>
    </row>
    <row r="167" spans="1:9" ht="33" customHeight="1" x14ac:dyDescent="0.3">
      <c r="A167" s="11">
        <v>455900000</v>
      </c>
      <c r="B167" s="36"/>
      <c r="C167" s="68" t="s">
        <v>65</v>
      </c>
      <c r="D167" s="68"/>
      <c r="E167" s="26">
        <f>31005</f>
        <v>31005</v>
      </c>
      <c r="F167" s="69"/>
      <c r="G167" s="70"/>
      <c r="H167" s="70"/>
      <c r="I167" s="71"/>
    </row>
    <row r="168" spans="1:9" ht="33" customHeight="1" x14ac:dyDescent="0.3">
      <c r="A168" s="11">
        <v>452300000</v>
      </c>
      <c r="B168" s="32"/>
      <c r="C168" s="68" t="s">
        <v>44</v>
      </c>
      <c r="D168" s="68"/>
      <c r="E168" s="26">
        <f>26235</f>
        <v>26235</v>
      </c>
      <c r="F168" s="69"/>
      <c r="G168" s="70"/>
      <c r="H168" s="70"/>
      <c r="I168" s="71"/>
    </row>
    <row r="169" spans="1:9" ht="33" customHeight="1" x14ac:dyDescent="0.3">
      <c r="A169" s="11">
        <v>458700000</v>
      </c>
      <c r="B169" s="32"/>
      <c r="C169" s="68" t="s">
        <v>24</v>
      </c>
      <c r="D169" s="68"/>
      <c r="E169" s="26">
        <f>21465</f>
        <v>21465</v>
      </c>
      <c r="F169" s="69"/>
      <c r="G169" s="70"/>
      <c r="H169" s="70"/>
      <c r="I169" s="71"/>
    </row>
    <row r="170" spans="1:9" ht="33" customHeight="1" x14ac:dyDescent="0.3">
      <c r="A170" s="11">
        <v>458800000</v>
      </c>
      <c r="B170" s="32"/>
      <c r="C170" s="68" t="s">
        <v>25</v>
      </c>
      <c r="D170" s="68"/>
      <c r="E170" s="26">
        <f>59625</f>
        <v>59625</v>
      </c>
      <c r="F170" s="69"/>
      <c r="G170" s="70"/>
      <c r="H170" s="70"/>
      <c r="I170" s="71"/>
    </row>
    <row r="171" spans="1:9" ht="33" customHeight="1" x14ac:dyDescent="0.3">
      <c r="A171" s="11">
        <v>454600000</v>
      </c>
      <c r="B171" s="32"/>
      <c r="C171" s="68" t="s">
        <v>57</v>
      </c>
      <c r="D171" s="68"/>
      <c r="E171" s="26">
        <f>14310</f>
        <v>14310</v>
      </c>
      <c r="F171" s="69"/>
      <c r="G171" s="70"/>
      <c r="H171" s="70"/>
      <c r="I171" s="71"/>
    </row>
    <row r="172" spans="1:9" ht="33" customHeight="1" x14ac:dyDescent="0.3">
      <c r="A172" s="11">
        <v>452400000</v>
      </c>
      <c r="B172" s="32"/>
      <c r="C172" s="68" t="s">
        <v>45</v>
      </c>
      <c r="D172" s="68"/>
      <c r="E172" s="26">
        <f>2385</f>
        <v>2385</v>
      </c>
      <c r="F172" s="69"/>
      <c r="G172" s="70"/>
      <c r="H172" s="70"/>
      <c r="I172" s="71"/>
    </row>
    <row r="173" spans="1:9" ht="33" customHeight="1" x14ac:dyDescent="0.3">
      <c r="A173" s="11">
        <v>455500000</v>
      </c>
      <c r="B173" s="32"/>
      <c r="C173" s="68" t="s">
        <v>61</v>
      </c>
      <c r="D173" s="68"/>
      <c r="E173" s="26">
        <f>7155</f>
        <v>7155</v>
      </c>
      <c r="F173" s="69"/>
      <c r="G173" s="70"/>
      <c r="H173" s="70"/>
      <c r="I173" s="71"/>
    </row>
    <row r="174" spans="1:9" ht="33" customHeight="1" x14ac:dyDescent="0.3">
      <c r="A174" s="11">
        <v>451500000</v>
      </c>
      <c r="B174" s="32"/>
      <c r="C174" s="68" t="s">
        <v>39</v>
      </c>
      <c r="D174" s="68"/>
      <c r="E174" s="26">
        <f>52470</f>
        <v>52470</v>
      </c>
      <c r="F174" s="69"/>
      <c r="G174" s="70"/>
      <c r="H174" s="70"/>
      <c r="I174" s="71"/>
    </row>
    <row r="175" spans="1:9" s="2" customFormat="1" ht="33" customHeight="1" x14ac:dyDescent="0.3">
      <c r="A175" s="11">
        <v>459000000</v>
      </c>
      <c r="B175" s="32"/>
      <c r="C175" s="68" t="s">
        <v>100</v>
      </c>
      <c r="D175" s="68"/>
      <c r="E175" s="26">
        <f>7155</f>
        <v>7155</v>
      </c>
      <c r="F175" s="69"/>
      <c r="G175" s="70"/>
      <c r="H175" s="70"/>
      <c r="I175" s="71"/>
    </row>
    <row r="176" spans="1:9" s="2" customFormat="1" ht="33" customHeight="1" x14ac:dyDescent="0.3">
      <c r="A176" s="11">
        <v>451300000</v>
      </c>
      <c r="B176" s="32"/>
      <c r="C176" s="68" t="s">
        <v>38</v>
      </c>
      <c r="D176" s="68"/>
      <c r="E176" s="26">
        <f>59625</f>
        <v>59625</v>
      </c>
      <c r="F176" s="69"/>
      <c r="G176" s="70"/>
      <c r="H176" s="70"/>
      <c r="I176" s="71"/>
    </row>
    <row r="177" spans="1:9" s="2" customFormat="1" ht="33" customHeight="1" x14ac:dyDescent="0.3">
      <c r="A177" s="11">
        <v>452500000</v>
      </c>
      <c r="B177" s="32"/>
      <c r="C177" s="68" t="s">
        <v>46</v>
      </c>
      <c r="D177" s="68"/>
      <c r="E177" s="26">
        <f>90630</f>
        <v>90630</v>
      </c>
      <c r="F177" s="69"/>
      <c r="G177" s="70"/>
      <c r="H177" s="70"/>
      <c r="I177" s="71"/>
    </row>
    <row r="178" spans="1:9" s="2" customFormat="1" ht="33" customHeight="1" x14ac:dyDescent="0.3">
      <c r="A178" s="11">
        <v>452600000</v>
      </c>
      <c r="B178" s="32"/>
      <c r="C178" s="68" t="s">
        <v>47</v>
      </c>
      <c r="D178" s="68"/>
      <c r="E178" s="26">
        <f>33390</f>
        <v>33390</v>
      </c>
      <c r="F178" s="69"/>
      <c r="G178" s="70"/>
      <c r="H178" s="70"/>
      <c r="I178" s="71"/>
    </row>
    <row r="179" spans="1:9" s="2" customFormat="1" ht="33" customHeight="1" x14ac:dyDescent="0.3">
      <c r="A179" s="11">
        <v>454200000</v>
      </c>
      <c r="B179" s="32"/>
      <c r="C179" s="68" t="s">
        <v>55</v>
      </c>
      <c r="D179" s="68"/>
      <c r="E179" s="26">
        <f>2385</f>
        <v>2385</v>
      </c>
      <c r="F179" s="69"/>
      <c r="G179" s="70"/>
      <c r="H179" s="70"/>
      <c r="I179" s="71"/>
    </row>
    <row r="180" spans="1:9" s="2" customFormat="1" ht="33" customHeight="1" x14ac:dyDescent="0.3">
      <c r="A180" s="11">
        <v>455400000</v>
      </c>
      <c r="B180" s="32"/>
      <c r="C180" s="68" t="s">
        <v>237</v>
      </c>
      <c r="D180" s="68"/>
      <c r="E180" s="26">
        <f>2385</f>
        <v>2385</v>
      </c>
      <c r="F180" s="69"/>
      <c r="G180" s="70"/>
      <c r="H180" s="70"/>
      <c r="I180" s="71"/>
    </row>
    <row r="181" spans="1:9" s="2" customFormat="1" ht="33" customHeight="1" x14ac:dyDescent="0.3">
      <c r="A181" s="11">
        <v>452700000</v>
      </c>
      <c r="B181" s="32"/>
      <c r="C181" s="68" t="s">
        <v>48</v>
      </c>
      <c r="D181" s="68"/>
      <c r="E181" s="26">
        <f>35775</f>
        <v>35775</v>
      </c>
      <c r="F181" s="69"/>
      <c r="G181" s="70"/>
      <c r="H181" s="70"/>
      <c r="I181" s="71"/>
    </row>
    <row r="182" spans="1:9" s="2" customFormat="1" ht="33" customHeight="1" x14ac:dyDescent="0.3">
      <c r="A182" s="11">
        <v>454000000</v>
      </c>
      <c r="B182" s="32"/>
      <c r="C182" s="68" t="s">
        <v>54</v>
      </c>
      <c r="D182" s="68"/>
      <c r="E182" s="26">
        <f>19080</f>
        <v>19080</v>
      </c>
      <c r="F182" s="69"/>
      <c r="G182" s="70"/>
      <c r="H182" s="70"/>
      <c r="I182" s="71"/>
    </row>
    <row r="183" spans="1:9" s="2" customFormat="1" ht="33" customHeight="1" x14ac:dyDescent="0.3">
      <c r="A183" s="11">
        <v>457000000</v>
      </c>
      <c r="B183" s="32"/>
      <c r="C183" s="68" t="s">
        <v>13</v>
      </c>
      <c r="D183" s="68"/>
      <c r="E183" s="26">
        <f>26235</f>
        <v>26235</v>
      </c>
      <c r="F183" s="69"/>
      <c r="G183" s="70"/>
      <c r="H183" s="70"/>
      <c r="I183" s="71"/>
    </row>
    <row r="184" spans="1:9" s="2" customFormat="1" ht="33" customHeight="1" x14ac:dyDescent="0.3">
      <c r="A184" s="11">
        <v>456700000</v>
      </c>
      <c r="B184" s="32"/>
      <c r="C184" s="68" t="s">
        <v>11</v>
      </c>
      <c r="D184" s="68"/>
      <c r="E184" s="26">
        <f>4770</f>
        <v>4770</v>
      </c>
      <c r="F184" s="69"/>
      <c r="G184" s="70"/>
      <c r="H184" s="70"/>
      <c r="I184" s="71"/>
    </row>
    <row r="185" spans="1:9" s="2" customFormat="1" ht="33" customHeight="1" x14ac:dyDescent="0.3">
      <c r="A185" s="11">
        <v>455100000</v>
      </c>
      <c r="B185" s="32"/>
      <c r="C185" s="68" t="s">
        <v>59</v>
      </c>
      <c r="D185" s="68"/>
      <c r="E185" s="26">
        <f>11925</f>
        <v>11925</v>
      </c>
      <c r="F185" s="69"/>
      <c r="G185" s="70"/>
      <c r="H185" s="70"/>
      <c r="I185" s="71"/>
    </row>
    <row r="186" spans="1:9" s="2" customFormat="1" ht="33" customHeight="1" x14ac:dyDescent="0.3">
      <c r="A186" s="11">
        <v>455200000</v>
      </c>
      <c r="B186" s="36"/>
      <c r="C186" s="68" t="s">
        <v>242</v>
      </c>
      <c r="D186" s="68"/>
      <c r="E186" s="26">
        <f>4770</f>
        <v>4770</v>
      </c>
      <c r="F186" s="69"/>
      <c r="G186" s="70"/>
      <c r="H186" s="70"/>
      <c r="I186" s="71"/>
    </row>
    <row r="187" spans="1:9" ht="33" customHeight="1" x14ac:dyDescent="0.3">
      <c r="A187" s="11">
        <v>454700000</v>
      </c>
      <c r="B187" s="32"/>
      <c r="C187" s="68" t="s">
        <v>236</v>
      </c>
      <c r="D187" s="68"/>
      <c r="E187" s="26">
        <f>14310</f>
        <v>14310</v>
      </c>
      <c r="F187" s="69"/>
      <c r="G187" s="70"/>
      <c r="H187" s="70"/>
      <c r="I187" s="71"/>
    </row>
    <row r="188" spans="1:9" s="4" customFormat="1" ht="39.75" customHeight="1" x14ac:dyDescent="0.3">
      <c r="A188" s="81"/>
      <c r="B188" s="81"/>
      <c r="C188" s="83" t="s">
        <v>126</v>
      </c>
      <c r="D188" s="83"/>
      <c r="E188" s="27"/>
      <c r="F188" s="73"/>
      <c r="G188" s="73"/>
      <c r="H188" s="73"/>
      <c r="I188" s="73"/>
    </row>
    <row r="189" spans="1:9" ht="58.5" customHeight="1" x14ac:dyDescent="0.3">
      <c r="A189" s="31" t="s">
        <v>74</v>
      </c>
      <c r="B189" s="17">
        <v>9770</v>
      </c>
      <c r="C189" s="89" t="s">
        <v>210</v>
      </c>
      <c r="D189" s="90"/>
      <c r="E189" s="28">
        <f>E190</f>
        <v>735000</v>
      </c>
      <c r="F189" s="69"/>
      <c r="G189" s="70"/>
      <c r="H189" s="70"/>
      <c r="I189" s="71"/>
    </row>
    <row r="190" spans="1:9" ht="32.25" customHeight="1" x14ac:dyDescent="0.3">
      <c r="A190" s="11">
        <v>710000000</v>
      </c>
      <c r="B190" s="30"/>
      <c r="C190" s="68" t="s">
        <v>211</v>
      </c>
      <c r="D190" s="68"/>
      <c r="E190" s="25">
        <f>735000</f>
        <v>735000</v>
      </c>
      <c r="F190" s="74"/>
      <c r="G190" s="75"/>
      <c r="H190" s="75"/>
      <c r="I190" s="76"/>
    </row>
    <row r="191" spans="1:9" s="4" customFormat="1" ht="39.75" customHeight="1" x14ac:dyDescent="0.3">
      <c r="A191" s="81"/>
      <c r="B191" s="81"/>
      <c r="C191" s="83" t="s">
        <v>126</v>
      </c>
      <c r="D191" s="83"/>
      <c r="E191" s="27"/>
      <c r="F191" s="73"/>
      <c r="G191" s="73"/>
      <c r="H191" s="73"/>
      <c r="I191" s="73"/>
    </row>
    <row r="192" spans="1:9" ht="58.5" customHeight="1" x14ac:dyDescent="0.3">
      <c r="A192" s="31" t="s">
        <v>74</v>
      </c>
      <c r="B192" s="17">
        <v>9770</v>
      </c>
      <c r="C192" s="89" t="s">
        <v>212</v>
      </c>
      <c r="D192" s="90"/>
      <c r="E192" s="28">
        <f>SUM(E193:E196)</f>
        <v>18262000</v>
      </c>
      <c r="F192" s="69"/>
      <c r="G192" s="70"/>
      <c r="H192" s="70"/>
      <c r="I192" s="71"/>
    </row>
    <row r="193" spans="1:9" ht="32.25" customHeight="1" x14ac:dyDescent="0.3">
      <c r="A193" s="39" t="s">
        <v>213</v>
      </c>
      <c r="B193" s="30"/>
      <c r="C193" s="68" t="s">
        <v>214</v>
      </c>
      <c r="D193" s="68"/>
      <c r="E193" s="25">
        <f>1800400</f>
        <v>1800400</v>
      </c>
      <c r="F193" s="74"/>
      <c r="G193" s="75"/>
      <c r="H193" s="75"/>
      <c r="I193" s="76"/>
    </row>
    <row r="194" spans="1:9" ht="32.25" customHeight="1" x14ac:dyDescent="0.3">
      <c r="A194" s="39" t="s">
        <v>215</v>
      </c>
      <c r="B194" s="30"/>
      <c r="C194" s="68" t="s">
        <v>216</v>
      </c>
      <c r="D194" s="68"/>
      <c r="E194" s="25">
        <f>3454500</f>
        <v>3454500</v>
      </c>
      <c r="F194" s="74"/>
      <c r="G194" s="75"/>
      <c r="H194" s="75"/>
      <c r="I194" s="76"/>
    </row>
    <row r="195" spans="1:9" ht="32.25" customHeight="1" x14ac:dyDescent="0.3">
      <c r="A195" s="39" t="s">
        <v>217</v>
      </c>
      <c r="B195" s="30"/>
      <c r="C195" s="68" t="s">
        <v>218</v>
      </c>
      <c r="D195" s="68"/>
      <c r="E195" s="25">
        <f>9846260</f>
        <v>9846260</v>
      </c>
      <c r="F195" s="74"/>
      <c r="G195" s="75"/>
      <c r="H195" s="75"/>
      <c r="I195" s="76"/>
    </row>
    <row r="196" spans="1:9" ht="32.25" customHeight="1" x14ac:dyDescent="0.3">
      <c r="A196" s="39" t="s">
        <v>219</v>
      </c>
      <c r="B196" s="30"/>
      <c r="C196" s="68" t="s">
        <v>220</v>
      </c>
      <c r="D196" s="68"/>
      <c r="E196" s="25">
        <f>3160840</f>
        <v>3160840</v>
      </c>
      <c r="F196" s="74"/>
      <c r="G196" s="75"/>
      <c r="H196" s="75"/>
      <c r="I196" s="76"/>
    </row>
    <row r="197" spans="1:9" s="4" customFormat="1" ht="44.25" customHeight="1" x14ac:dyDescent="0.3">
      <c r="A197" s="72"/>
      <c r="B197" s="72"/>
      <c r="C197" s="83" t="s">
        <v>128</v>
      </c>
      <c r="D197" s="83"/>
      <c r="E197" s="27"/>
      <c r="F197" s="74"/>
      <c r="G197" s="75"/>
      <c r="H197" s="75"/>
      <c r="I197" s="76"/>
    </row>
    <row r="198" spans="1:9" s="6" customFormat="1" ht="48" customHeight="1" x14ac:dyDescent="0.3">
      <c r="A198" s="16" t="s">
        <v>104</v>
      </c>
      <c r="B198" s="17">
        <v>9770</v>
      </c>
      <c r="C198" s="82" t="s">
        <v>206</v>
      </c>
      <c r="D198" s="82"/>
      <c r="E198" s="24">
        <f>E199</f>
        <v>200000000</v>
      </c>
      <c r="F198" s="86" t="s">
        <v>209</v>
      </c>
      <c r="G198" s="87"/>
      <c r="H198" s="87"/>
      <c r="I198" s="88"/>
    </row>
    <row r="199" spans="1:9" s="6" customFormat="1" ht="32.25" customHeight="1" x14ac:dyDescent="0.3">
      <c r="A199" s="11">
        <v>457810000</v>
      </c>
      <c r="B199" s="32"/>
      <c r="C199" s="68" t="s">
        <v>18</v>
      </c>
      <c r="D199" s="68"/>
      <c r="E199" s="25">
        <f>F199</f>
        <v>200000000</v>
      </c>
      <c r="F199" s="74">
        <f>200000000</f>
        <v>200000000</v>
      </c>
      <c r="G199" s="75"/>
      <c r="H199" s="75"/>
      <c r="I199" s="76"/>
    </row>
    <row r="200" spans="1:9" s="4" customFormat="1" ht="39" customHeight="1" x14ac:dyDescent="0.3">
      <c r="A200" s="72"/>
      <c r="B200" s="72"/>
      <c r="C200" s="83" t="s">
        <v>127</v>
      </c>
      <c r="D200" s="83"/>
      <c r="E200" s="27"/>
      <c r="F200" s="73"/>
      <c r="G200" s="73"/>
      <c r="H200" s="73"/>
      <c r="I200" s="73"/>
    </row>
    <row r="201" spans="1:9" s="6" customFormat="1" ht="45.75" customHeight="1" x14ac:dyDescent="0.3">
      <c r="A201" s="16" t="s">
        <v>207</v>
      </c>
      <c r="B201" s="17">
        <v>9770</v>
      </c>
      <c r="C201" s="82" t="s">
        <v>206</v>
      </c>
      <c r="D201" s="82"/>
      <c r="E201" s="28">
        <f>E202</f>
        <v>200000000</v>
      </c>
      <c r="F201" s="91" t="s">
        <v>105</v>
      </c>
      <c r="G201" s="91"/>
      <c r="H201" s="91"/>
      <c r="I201" s="91"/>
    </row>
    <row r="202" spans="1:9" s="6" customFormat="1" ht="31.5" customHeight="1" x14ac:dyDescent="0.3">
      <c r="A202" s="11">
        <v>457600000</v>
      </c>
      <c r="B202" s="32"/>
      <c r="C202" s="68" t="s">
        <v>16</v>
      </c>
      <c r="D202" s="68"/>
      <c r="E202" s="26">
        <f>F202</f>
        <v>200000000</v>
      </c>
      <c r="F202" s="69">
        <f>200000000</f>
        <v>200000000</v>
      </c>
      <c r="G202" s="70"/>
      <c r="H202" s="70"/>
      <c r="I202" s="71"/>
    </row>
    <row r="203" spans="1:9" s="6" customFormat="1" ht="38.25" customHeight="1" x14ac:dyDescent="0.3">
      <c r="A203" s="72"/>
      <c r="B203" s="72"/>
      <c r="C203" s="83" t="s">
        <v>130</v>
      </c>
      <c r="D203" s="83"/>
      <c r="E203" s="27"/>
      <c r="F203" s="73"/>
      <c r="G203" s="73"/>
      <c r="H203" s="73"/>
      <c r="I203" s="73"/>
    </row>
    <row r="204" spans="1:9" ht="59.25" customHeight="1" x14ac:dyDescent="0.3">
      <c r="A204" s="16" t="s">
        <v>89</v>
      </c>
      <c r="B204" s="17">
        <v>9800</v>
      </c>
      <c r="C204" s="82" t="s">
        <v>87</v>
      </c>
      <c r="D204" s="82"/>
      <c r="E204" s="28">
        <f>E205</f>
        <v>247000000</v>
      </c>
      <c r="F204" s="91" t="s">
        <v>230</v>
      </c>
      <c r="G204" s="91"/>
      <c r="H204" s="91"/>
      <c r="I204" s="91"/>
    </row>
    <row r="205" spans="1:9" s="6" customFormat="1" ht="33" customHeight="1" x14ac:dyDescent="0.3">
      <c r="A205" s="34">
        <v>9900000000</v>
      </c>
      <c r="B205" s="34"/>
      <c r="C205" s="84" t="s">
        <v>1</v>
      </c>
      <c r="D205" s="85"/>
      <c r="E205" s="26">
        <f>F205</f>
        <v>247000000</v>
      </c>
      <c r="F205" s="69">
        <f>247000000</f>
        <v>247000000</v>
      </c>
      <c r="G205" s="70"/>
      <c r="H205" s="70"/>
      <c r="I205" s="71"/>
    </row>
    <row r="206" spans="1:9" s="6" customFormat="1" ht="38.25" customHeight="1" x14ac:dyDescent="0.3">
      <c r="A206" s="72"/>
      <c r="B206" s="72"/>
      <c r="C206" s="83" t="s">
        <v>130</v>
      </c>
      <c r="D206" s="83"/>
      <c r="E206" s="27"/>
      <c r="F206" s="73"/>
      <c r="G206" s="73"/>
      <c r="H206" s="73"/>
      <c r="I206" s="73"/>
    </row>
    <row r="207" spans="1:9" ht="64.5" customHeight="1" x14ac:dyDescent="0.3">
      <c r="A207" s="16" t="s">
        <v>89</v>
      </c>
      <c r="B207" s="17">
        <v>9800</v>
      </c>
      <c r="C207" s="89" t="s">
        <v>87</v>
      </c>
      <c r="D207" s="90"/>
      <c r="E207" s="28">
        <f>E208</f>
        <v>351000000</v>
      </c>
      <c r="F207" s="77" t="s">
        <v>231</v>
      </c>
      <c r="G207" s="78"/>
      <c r="H207" s="78"/>
      <c r="I207" s="79"/>
    </row>
    <row r="208" spans="1:9" s="6" customFormat="1" ht="33" customHeight="1" x14ac:dyDescent="0.3">
      <c r="A208" s="34">
        <v>9900000000</v>
      </c>
      <c r="B208" s="34"/>
      <c r="C208" s="84" t="s">
        <v>1</v>
      </c>
      <c r="D208" s="85"/>
      <c r="E208" s="26">
        <f>F208</f>
        <v>351000000</v>
      </c>
      <c r="F208" s="69">
        <f>350000000+1000000</f>
        <v>351000000</v>
      </c>
      <c r="G208" s="70"/>
      <c r="H208" s="70"/>
      <c r="I208" s="71"/>
    </row>
    <row r="209" spans="1:11" s="6" customFormat="1" ht="39" customHeight="1" x14ac:dyDescent="0.3">
      <c r="A209" s="72"/>
      <c r="B209" s="72"/>
      <c r="C209" s="83" t="s">
        <v>131</v>
      </c>
      <c r="D209" s="83"/>
      <c r="E209" s="27"/>
      <c r="F209" s="73"/>
      <c r="G209" s="73"/>
      <c r="H209" s="73"/>
      <c r="I209" s="73"/>
    </row>
    <row r="210" spans="1:11" ht="61.5" customHeight="1" x14ac:dyDescent="0.3">
      <c r="A210" s="16" t="s">
        <v>88</v>
      </c>
      <c r="B210" s="17">
        <v>9800</v>
      </c>
      <c r="C210" s="82" t="s">
        <v>87</v>
      </c>
      <c r="D210" s="82"/>
      <c r="E210" s="28">
        <f>E211</f>
        <v>3000000</v>
      </c>
      <c r="F210" s="91" t="s">
        <v>230</v>
      </c>
      <c r="G210" s="91"/>
      <c r="H210" s="91"/>
      <c r="I210" s="91"/>
    </row>
    <row r="211" spans="1:11" s="6" customFormat="1" ht="33" customHeight="1" x14ac:dyDescent="0.3">
      <c r="A211" s="34">
        <v>9900000000</v>
      </c>
      <c r="B211" s="34"/>
      <c r="C211" s="84" t="s">
        <v>1</v>
      </c>
      <c r="D211" s="85"/>
      <c r="E211" s="26">
        <f>F211</f>
        <v>3000000</v>
      </c>
      <c r="F211" s="69">
        <f>3000000</f>
        <v>3000000</v>
      </c>
      <c r="G211" s="70"/>
      <c r="H211" s="70"/>
      <c r="I211" s="71"/>
    </row>
    <row r="212" spans="1:11" s="6" customFormat="1" ht="39" customHeight="1" x14ac:dyDescent="0.3">
      <c r="A212" s="72"/>
      <c r="B212" s="72"/>
      <c r="C212" s="83" t="s">
        <v>131</v>
      </c>
      <c r="D212" s="83"/>
      <c r="E212" s="27"/>
      <c r="F212" s="73"/>
      <c r="G212" s="73"/>
      <c r="H212" s="73"/>
      <c r="I212" s="73"/>
    </row>
    <row r="213" spans="1:11" ht="79.5" customHeight="1" x14ac:dyDescent="0.3">
      <c r="A213" s="16" t="s">
        <v>88</v>
      </c>
      <c r="B213" s="17">
        <v>9800</v>
      </c>
      <c r="C213" s="82" t="s">
        <v>87</v>
      </c>
      <c r="D213" s="82"/>
      <c r="E213" s="28">
        <f>E214</f>
        <v>21024000</v>
      </c>
      <c r="F213" s="91" t="s">
        <v>232</v>
      </c>
      <c r="G213" s="91"/>
      <c r="H213" s="91"/>
      <c r="I213" s="91"/>
    </row>
    <row r="214" spans="1:11" s="6" customFormat="1" ht="33" customHeight="1" x14ac:dyDescent="0.3">
      <c r="A214" s="34">
        <v>9900000000</v>
      </c>
      <c r="B214" s="34"/>
      <c r="C214" s="84" t="s">
        <v>1</v>
      </c>
      <c r="D214" s="85"/>
      <c r="E214" s="26">
        <f>F214</f>
        <v>21024000</v>
      </c>
      <c r="F214" s="69">
        <f>14584000+6440000</f>
        <v>21024000</v>
      </c>
      <c r="G214" s="70"/>
      <c r="H214" s="70"/>
      <c r="I214" s="71"/>
    </row>
    <row r="215" spans="1:11" s="4" customFormat="1" ht="40.5" customHeight="1" x14ac:dyDescent="0.3">
      <c r="A215" s="72"/>
      <c r="B215" s="72"/>
      <c r="C215" s="83" t="s">
        <v>123</v>
      </c>
      <c r="D215" s="83"/>
      <c r="E215" s="27"/>
      <c r="F215" s="73"/>
      <c r="G215" s="73"/>
      <c r="H215" s="73"/>
      <c r="I215" s="73"/>
    </row>
    <row r="216" spans="1:11" ht="69.75" customHeight="1" x14ac:dyDescent="0.3">
      <c r="A216" s="16" t="s">
        <v>90</v>
      </c>
      <c r="B216" s="17">
        <v>9800</v>
      </c>
      <c r="C216" s="82" t="s">
        <v>87</v>
      </c>
      <c r="D216" s="82"/>
      <c r="E216" s="28">
        <f>E217</f>
        <v>100000000</v>
      </c>
      <c r="F216" s="91" t="s">
        <v>233</v>
      </c>
      <c r="G216" s="91"/>
      <c r="H216" s="91"/>
      <c r="I216" s="91"/>
    </row>
    <row r="217" spans="1:11" s="6" customFormat="1" ht="33" customHeight="1" x14ac:dyDescent="0.3">
      <c r="A217" s="34">
        <v>9900000000</v>
      </c>
      <c r="B217" s="34"/>
      <c r="C217" s="84" t="s">
        <v>1</v>
      </c>
      <c r="D217" s="85"/>
      <c r="E217" s="26">
        <f>F217</f>
        <v>100000000</v>
      </c>
      <c r="F217" s="69">
        <f>100000000</f>
        <v>100000000</v>
      </c>
      <c r="G217" s="70"/>
      <c r="H217" s="70"/>
      <c r="I217" s="71"/>
    </row>
    <row r="218" spans="1:11" s="7" customFormat="1" ht="26.25" customHeight="1" x14ac:dyDescent="0.3">
      <c r="A218" s="17" t="s">
        <v>85</v>
      </c>
      <c r="B218" s="17" t="s">
        <v>85</v>
      </c>
      <c r="C218" s="116" t="s">
        <v>98</v>
      </c>
      <c r="D218" s="116"/>
      <c r="E218" s="29">
        <f>E219</f>
        <v>2428431000</v>
      </c>
      <c r="F218" s="94"/>
      <c r="G218" s="94"/>
      <c r="H218" s="94"/>
      <c r="I218" s="94"/>
      <c r="J218" s="8"/>
      <c r="K218" s="18"/>
    </row>
    <row r="219" spans="1:11" s="7" customFormat="1" ht="26.25" customHeight="1" x14ac:dyDescent="0.3">
      <c r="A219" s="17" t="s">
        <v>85</v>
      </c>
      <c r="B219" s="17" t="s">
        <v>85</v>
      </c>
      <c r="C219" s="116" t="s">
        <v>69</v>
      </c>
      <c r="D219" s="116"/>
      <c r="E219" s="29">
        <f>E13+E16+E19+E22+E112+E189+E192+E204+E207+E210+E213+E216+E103+E201+E198</f>
        <v>2428431000</v>
      </c>
      <c r="F219" s="94"/>
      <c r="G219" s="94"/>
      <c r="H219" s="94"/>
      <c r="I219" s="94"/>
      <c r="J219" s="8"/>
      <c r="K219" s="18"/>
    </row>
    <row r="220" spans="1:11" ht="48.75" customHeight="1" x14ac:dyDescent="0.3"/>
    <row r="221" spans="1:11" s="9" customFormat="1" ht="32.25" customHeight="1" x14ac:dyDescent="0.4">
      <c r="A221" s="92" t="s">
        <v>121</v>
      </c>
      <c r="B221" s="92"/>
      <c r="C221" s="92"/>
      <c r="D221" s="93"/>
      <c r="E221" s="93"/>
      <c r="F221" s="118" t="s">
        <v>245</v>
      </c>
      <c r="G221" s="118"/>
      <c r="H221" s="118"/>
      <c r="I221" s="118"/>
    </row>
    <row r="223" spans="1:11" x14ac:dyDescent="0.3">
      <c r="B223" s="1"/>
      <c r="E223" s="10"/>
      <c r="F223" s="10"/>
      <c r="G223" s="10"/>
      <c r="H223" s="10"/>
      <c r="I223" s="10"/>
    </row>
  </sheetData>
  <sheetProtection selectLockedCells="1" selectUnlockedCells="1"/>
  <customSheetViews>
    <customSheetView guid="{4644111A-82C5-489B-9E53-EB80700E535E}" scale="60" showPageBreaks="1" zeroValues="0" printArea="1" view="pageBreakPreview" topLeftCell="A169">
      <selection activeCell="C174" sqref="C174:D174"/>
      <rowBreaks count="6" manualBreakCount="6">
        <brk id="77" max="8" man="1"/>
        <brk id="110" max="8" man="1"/>
        <brk id="136" max="8" man="1"/>
        <brk id="501" max="8" man="1"/>
        <brk id="516" max="8" man="1"/>
        <brk id="543" max="8" man="1"/>
      </rowBreaks>
      <pageMargins left="0.98425196850393704" right="0.59055118110236227" top="0.59055118110236227" bottom="0.59055118110236227" header="0.39370078740157483" footer="0.39370078740157483"/>
      <pageSetup paperSize="9" scale="40" firstPageNumber="7" fitToHeight="500" orientation="landscape" useFirstPageNumber="1" horizontalDpi="300" verticalDpi="300" r:id="rId1"/>
      <headerFooter differentFirst="1" alignWithMargins="0">
        <oddHeader>&amp;C&amp;P</oddHeader>
        <firstHeader>&amp;C&amp;P</firstHeader>
      </headerFooter>
    </customSheetView>
    <customSheetView guid="{879B1E14-7CA4-4463-9C42-4E2586107585}" scale="60" showPageBreaks="1" zeroValues="0" printArea="1" view="pageBreakPreview" topLeftCell="A175">
      <selection activeCell="E184" sqref="E184"/>
      <rowBreaks count="6" manualBreakCount="6">
        <brk id="77" max="8" man="1"/>
        <brk id="110" max="8" man="1"/>
        <brk id="136" max="8" man="1"/>
        <brk id="501" max="8" man="1"/>
        <brk id="516" max="8" man="1"/>
        <brk id="543" max="8" man="1"/>
      </rowBreaks>
      <pageMargins left="0.98425196850393704" right="0.59055118110236227" top="0.59055118110236227" bottom="0.59055118110236227" header="0.39370078740157483" footer="0.39370078740157483"/>
      <pageSetup paperSize="9" scale="40" firstPageNumber="7" fitToHeight="500" orientation="landscape" useFirstPageNumber="1" horizontalDpi="300" verticalDpi="300" r:id="rId2"/>
      <headerFooter differentFirst="1" alignWithMargins="0">
        <oddHeader>&amp;C&amp;P</oddHeader>
        <firstHeader>&amp;C&amp;P</firstHeader>
      </headerFooter>
    </customSheetView>
    <customSheetView guid="{C9A6F9B2-0582-46B8-BF5A-2A8D2AC01FE2}" scale="60" showPageBreaks="1" zeroValues="0" printArea="1" view="pageBreakPreview" topLeftCell="A106">
      <selection activeCell="E184" sqref="E184"/>
      <rowBreaks count="6" manualBreakCount="6">
        <brk id="77" max="8" man="1"/>
        <brk id="110" max="8" man="1"/>
        <brk id="136" max="8" man="1"/>
        <brk id="501" max="8" man="1"/>
        <brk id="516" max="8" man="1"/>
        <brk id="543" max="8" man="1"/>
      </rowBreaks>
      <pageMargins left="0.98425196850393704" right="0.59055118110236227" top="0.59055118110236227" bottom="0.59055118110236227" header="0.39370078740157483" footer="0.39370078740157483"/>
      <pageSetup paperSize="9" scale="40" firstPageNumber="7" fitToHeight="500" orientation="landscape" useFirstPageNumber="1" horizontalDpi="300" verticalDpi="300" r:id="rId3"/>
      <headerFooter differentFirst="1" alignWithMargins="0">
        <oddHeader>&amp;C&amp;P</oddHeader>
        <firstHeader>&amp;C&amp;P</firstHeader>
      </headerFooter>
    </customSheetView>
  </customSheetViews>
  <mergeCells count="444">
    <mergeCell ref="C93:D93"/>
    <mergeCell ref="F41:I41"/>
    <mergeCell ref="F57:I57"/>
    <mergeCell ref="F59:I59"/>
    <mergeCell ref="F63:I63"/>
    <mergeCell ref="F72:I72"/>
    <mergeCell ref="F73:I73"/>
    <mergeCell ref="F88:I88"/>
    <mergeCell ref="F93:I93"/>
    <mergeCell ref="C87:D87"/>
    <mergeCell ref="F87:I87"/>
    <mergeCell ref="C89:D89"/>
    <mergeCell ref="F89:I89"/>
    <mergeCell ref="C90:D90"/>
    <mergeCell ref="F90:I90"/>
    <mergeCell ref="C91:D91"/>
    <mergeCell ref="F91:I91"/>
    <mergeCell ref="C92:D92"/>
    <mergeCell ref="F92:I92"/>
    <mergeCell ref="C88:D88"/>
    <mergeCell ref="C82:D82"/>
    <mergeCell ref="F82:I82"/>
    <mergeCell ref="C83:D83"/>
    <mergeCell ref="F83:I83"/>
    <mergeCell ref="F99:I99"/>
    <mergeCell ref="F100:I100"/>
    <mergeCell ref="C99:D99"/>
    <mergeCell ref="C100:D100"/>
    <mergeCell ref="C101:D101"/>
    <mergeCell ref="F101:I101"/>
    <mergeCell ref="C94:D94"/>
    <mergeCell ref="F94:I94"/>
    <mergeCell ref="C95:D95"/>
    <mergeCell ref="F95:I95"/>
    <mergeCell ref="C96:D96"/>
    <mergeCell ref="F96:I96"/>
    <mergeCell ref="C97:D97"/>
    <mergeCell ref="F97:I97"/>
    <mergeCell ref="C98:D98"/>
    <mergeCell ref="F98:I98"/>
    <mergeCell ref="C84:D84"/>
    <mergeCell ref="F84:I84"/>
    <mergeCell ref="C85:D85"/>
    <mergeCell ref="F85:I85"/>
    <mergeCell ref="C86:D86"/>
    <mergeCell ref="F86:I86"/>
    <mergeCell ref="C77:D77"/>
    <mergeCell ref="F77:I77"/>
    <mergeCell ref="C78:D78"/>
    <mergeCell ref="F78:I78"/>
    <mergeCell ref="C79:D79"/>
    <mergeCell ref="F79:I79"/>
    <mergeCell ref="C80:D80"/>
    <mergeCell ref="F80:I80"/>
    <mergeCell ref="C81:D81"/>
    <mergeCell ref="F81:I81"/>
    <mergeCell ref="C71:D71"/>
    <mergeCell ref="F71:I71"/>
    <mergeCell ref="C74:D74"/>
    <mergeCell ref="F74:I74"/>
    <mergeCell ref="C75:D75"/>
    <mergeCell ref="F75:I75"/>
    <mergeCell ref="C76:D76"/>
    <mergeCell ref="F76:I76"/>
    <mergeCell ref="C72:D72"/>
    <mergeCell ref="C73:D73"/>
    <mergeCell ref="C66:D66"/>
    <mergeCell ref="F66:I66"/>
    <mergeCell ref="C67:D67"/>
    <mergeCell ref="F67:I67"/>
    <mergeCell ref="C68:D68"/>
    <mergeCell ref="F68:I68"/>
    <mergeCell ref="C69:D69"/>
    <mergeCell ref="F69:I69"/>
    <mergeCell ref="C70:D70"/>
    <mergeCell ref="F70:I70"/>
    <mergeCell ref="C61:D61"/>
    <mergeCell ref="F61:I61"/>
    <mergeCell ref="C62:D62"/>
    <mergeCell ref="F62:I62"/>
    <mergeCell ref="C64:D64"/>
    <mergeCell ref="F64:I64"/>
    <mergeCell ref="F65:I65"/>
    <mergeCell ref="C65:D65"/>
    <mergeCell ref="C63:D63"/>
    <mergeCell ref="F55:I55"/>
    <mergeCell ref="C55:D55"/>
    <mergeCell ref="C56:D56"/>
    <mergeCell ref="F56:I56"/>
    <mergeCell ref="C58:D58"/>
    <mergeCell ref="F58:I58"/>
    <mergeCell ref="C60:D60"/>
    <mergeCell ref="F60:I60"/>
    <mergeCell ref="C57:D57"/>
    <mergeCell ref="C59:D59"/>
    <mergeCell ref="C50:D50"/>
    <mergeCell ref="F50:I50"/>
    <mergeCell ref="C51:D51"/>
    <mergeCell ref="F51:I51"/>
    <mergeCell ref="C52:D52"/>
    <mergeCell ref="F52:I52"/>
    <mergeCell ref="C53:D53"/>
    <mergeCell ref="F53:I53"/>
    <mergeCell ref="C54:D54"/>
    <mergeCell ref="F54:I54"/>
    <mergeCell ref="C45:D45"/>
    <mergeCell ref="F45:I45"/>
    <mergeCell ref="C46:D46"/>
    <mergeCell ref="F46:I46"/>
    <mergeCell ref="C47:D47"/>
    <mergeCell ref="F47:I47"/>
    <mergeCell ref="C48:D48"/>
    <mergeCell ref="F48:I48"/>
    <mergeCell ref="C49:D49"/>
    <mergeCell ref="F49:I49"/>
    <mergeCell ref="C39:D39"/>
    <mergeCell ref="F39:I39"/>
    <mergeCell ref="C40:D40"/>
    <mergeCell ref="F40:I40"/>
    <mergeCell ref="C42:D42"/>
    <mergeCell ref="F42:I42"/>
    <mergeCell ref="C43:D43"/>
    <mergeCell ref="F43:I43"/>
    <mergeCell ref="C44:D44"/>
    <mergeCell ref="F44:I44"/>
    <mergeCell ref="C34:D34"/>
    <mergeCell ref="F34:I34"/>
    <mergeCell ref="C35:D35"/>
    <mergeCell ref="F35:I35"/>
    <mergeCell ref="C36:D36"/>
    <mergeCell ref="F36:I36"/>
    <mergeCell ref="C37:D37"/>
    <mergeCell ref="F37:I37"/>
    <mergeCell ref="C38:D38"/>
    <mergeCell ref="F38:I38"/>
    <mergeCell ref="C29:D29"/>
    <mergeCell ref="F29:I29"/>
    <mergeCell ref="C30:D30"/>
    <mergeCell ref="F30:I30"/>
    <mergeCell ref="C31:D31"/>
    <mergeCell ref="F31:I31"/>
    <mergeCell ref="C32:D32"/>
    <mergeCell ref="F32:I32"/>
    <mergeCell ref="C33:D33"/>
    <mergeCell ref="F33:I33"/>
    <mergeCell ref="F24:I24"/>
    <mergeCell ref="C25:D25"/>
    <mergeCell ref="F25:I25"/>
    <mergeCell ref="C26:D26"/>
    <mergeCell ref="F26:I26"/>
    <mergeCell ref="C27:D27"/>
    <mergeCell ref="F27:I27"/>
    <mergeCell ref="C28:D28"/>
    <mergeCell ref="F28:I28"/>
    <mergeCell ref="F191:I191"/>
    <mergeCell ref="C105:D105"/>
    <mergeCell ref="F106:I106"/>
    <mergeCell ref="F114:I114"/>
    <mergeCell ref="F136:I136"/>
    <mergeCell ref="F148:I148"/>
    <mergeCell ref="F153:I153"/>
    <mergeCell ref="F147:I147"/>
    <mergeCell ref="F149:I149"/>
    <mergeCell ref="F112:I112"/>
    <mergeCell ref="C112:D112"/>
    <mergeCell ref="F162:I162"/>
    <mergeCell ref="C140:D140"/>
    <mergeCell ref="F139:I139"/>
    <mergeCell ref="F132:I132"/>
    <mergeCell ref="F116:I116"/>
    <mergeCell ref="C130:D130"/>
    <mergeCell ref="F141:I141"/>
    <mergeCell ref="C122:D122"/>
    <mergeCell ref="C116:D116"/>
    <mergeCell ref="F131:I131"/>
    <mergeCell ref="F212:I212"/>
    <mergeCell ref="F205:I205"/>
    <mergeCell ref="F213:I213"/>
    <mergeCell ref="C192:D192"/>
    <mergeCell ref="F192:I192"/>
    <mergeCell ref="F127:I127"/>
    <mergeCell ref="F145:I145"/>
    <mergeCell ref="F146:I146"/>
    <mergeCell ref="F159:I159"/>
    <mergeCell ref="C161:D161"/>
    <mergeCell ref="F157:I157"/>
    <mergeCell ref="F156:I156"/>
    <mergeCell ref="F150:I150"/>
    <mergeCell ref="C135:D135"/>
    <mergeCell ref="F133:I133"/>
    <mergeCell ref="C150:D150"/>
    <mergeCell ref="C136:D136"/>
    <mergeCell ref="C127:D127"/>
    <mergeCell ref="F138:I138"/>
    <mergeCell ref="F130:I130"/>
    <mergeCell ref="C138:D138"/>
    <mergeCell ref="F158:I158"/>
    <mergeCell ref="F135:I135"/>
    <mergeCell ref="C139:D139"/>
    <mergeCell ref="F186:I186"/>
    <mergeCell ref="C182:D182"/>
    <mergeCell ref="F180:I180"/>
    <mergeCell ref="C178:D178"/>
    <mergeCell ref="C144:D144"/>
    <mergeCell ref="F155:I155"/>
    <mergeCell ref="F216:I216"/>
    <mergeCell ref="C190:D190"/>
    <mergeCell ref="F190:I190"/>
    <mergeCell ref="C195:D195"/>
    <mergeCell ref="F195:I195"/>
    <mergeCell ref="F196:I196"/>
    <mergeCell ref="F208:I208"/>
    <mergeCell ref="F214:I214"/>
    <mergeCell ref="C213:D213"/>
    <mergeCell ref="C206:D206"/>
    <mergeCell ref="F206:I206"/>
    <mergeCell ref="F204:I204"/>
    <mergeCell ref="C209:D209"/>
    <mergeCell ref="C211:D211"/>
    <mergeCell ref="F210:I210"/>
    <mergeCell ref="F211:I211"/>
    <mergeCell ref="C197:D197"/>
    <mergeCell ref="F197:I197"/>
    <mergeCell ref="C218:D218"/>
    <mergeCell ref="C219:D219"/>
    <mergeCell ref="F218:I218"/>
    <mergeCell ref="C137:D137"/>
    <mergeCell ref="C133:D133"/>
    <mergeCell ref="C118:D118"/>
    <mergeCell ref="F128:I128"/>
    <mergeCell ref="F124:I124"/>
    <mergeCell ref="F21:I21"/>
    <mergeCell ref="F23:I23"/>
    <mergeCell ref="C23:D23"/>
    <mergeCell ref="C114:D114"/>
    <mergeCell ref="C103:D103"/>
    <mergeCell ref="C126:D126"/>
    <mergeCell ref="C108:D108"/>
    <mergeCell ref="F110:I110"/>
    <mergeCell ref="F115:I115"/>
    <mergeCell ref="C117:D117"/>
    <mergeCell ref="F122:I122"/>
    <mergeCell ref="C120:D120"/>
    <mergeCell ref="F215:I215"/>
    <mergeCell ref="C145:D145"/>
    <mergeCell ref="C148:D148"/>
    <mergeCell ref="F144:I144"/>
    <mergeCell ref="F13:I13"/>
    <mergeCell ref="C184:D184"/>
    <mergeCell ref="A18:B18"/>
    <mergeCell ref="C18:D18"/>
    <mergeCell ref="F18:I18"/>
    <mergeCell ref="F15:I15"/>
    <mergeCell ref="A12:B12"/>
    <mergeCell ref="C13:D13"/>
    <mergeCell ref="C14:D14"/>
    <mergeCell ref="F14:I14"/>
    <mergeCell ref="C15:D15"/>
    <mergeCell ref="A15:B15"/>
    <mergeCell ref="C22:D22"/>
    <mergeCell ref="F22:I22"/>
    <mergeCell ref="F19:I19"/>
    <mergeCell ref="F20:I20"/>
    <mergeCell ref="C20:D20"/>
    <mergeCell ref="C19:D19"/>
    <mergeCell ref="F17:I17"/>
    <mergeCell ref="F16:I16"/>
    <mergeCell ref="C16:D16"/>
    <mergeCell ref="C17:D17"/>
    <mergeCell ref="C143:D143"/>
    <mergeCell ref="F143:I143"/>
    <mergeCell ref="F1:I1"/>
    <mergeCell ref="C12:D12"/>
    <mergeCell ref="F12:I12"/>
    <mergeCell ref="F2:I2"/>
    <mergeCell ref="C10:D10"/>
    <mergeCell ref="A3:I3"/>
    <mergeCell ref="E5:E9"/>
    <mergeCell ref="C5:D9"/>
    <mergeCell ref="A5:A9"/>
    <mergeCell ref="B5:B9"/>
    <mergeCell ref="A11:I11"/>
    <mergeCell ref="F5:I9"/>
    <mergeCell ref="F10:I10"/>
    <mergeCell ref="F203:I203"/>
    <mergeCell ref="C189:D189"/>
    <mergeCell ref="F189:I189"/>
    <mergeCell ref="F207:I207"/>
    <mergeCell ref="C196:D196"/>
    <mergeCell ref="F201:I201"/>
    <mergeCell ref="F202:I202"/>
    <mergeCell ref="F217:I217"/>
    <mergeCell ref="A221:C221"/>
    <mergeCell ref="D221:E221"/>
    <mergeCell ref="F221:I221"/>
    <mergeCell ref="C210:D210"/>
    <mergeCell ref="F209:I209"/>
    <mergeCell ref="C208:D208"/>
    <mergeCell ref="C207:D207"/>
    <mergeCell ref="C214:D214"/>
    <mergeCell ref="C204:D204"/>
    <mergeCell ref="C217:D217"/>
    <mergeCell ref="C203:D203"/>
    <mergeCell ref="A200:B200"/>
    <mergeCell ref="C200:D200"/>
    <mergeCell ref="F200:I200"/>
    <mergeCell ref="C212:D212"/>
    <mergeCell ref="F219:I219"/>
    <mergeCell ref="F185:I185"/>
    <mergeCell ref="F199:I199"/>
    <mergeCell ref="F176:I176"/>
    <mergeCell ref="C179:D179"/>
    <mergeCell ref="F170:I170"/>
    <mergeCell ref="C147:D147"/>
    <mergeCell ref="C155:D155"/>
    <mergeCell ref="C193:D193"/>
    <mergeCell ref="F193:I193"/>
    <mergeCell ref="C194:D194"/>
    <mergeCell ref="F194:I194"/>
    <mergeCell ref="C188:D188"/>
    <mergeCell ref="F169:I169"/>
    <mergeCell ref="F168:I168"/>
    <mergeCell ref="F165:I165"/>
    <mergeCell ref="C158:D158"/>
    <mergeCell ref="C164:D164"/>
    <mergeCell ref="F152:I152"/>
    <mergeCell ref="C187:D187"/>
    <mergeCell ref="F151:I151"/>
    <mergeCell ref="F187:I187"/>
    <mergeCell ref="C149:D149"/>
    <mergeCell ref="C152:D152"/>
    <mergeCell ref="C154:D154"/>
    <mergeCell ref="F175:I175"/>
    <mergeCell ref="F174:I174"/>
    <mergeCell ref="F178:I178"/>
    <mergeCell ref="F126:I126"/>
    <mergeCell ref="C146:D146"/>
    <mergeCell ref="C142:D142"/>
    <mergeCell ref="C128:D128"/>
    <mergeCell ref="F154:I154"/>
    <mergeCell ref="C151:D151"/>
    <mergeCell ref="C169:D169"/>
    <mergeCell ref="C176:D176"/>
    <mergeCell ref="C132:D132"/>
    <mergeCell ref="C129:D129"/>
    <mergeCell ref="F129:I129"/>
    <mergeCell ref="C153:D153"/>
    <mergeCell ref="F140:I140"/>
    <mergeCell ref="C170:D170"/>
    <mergeCell ref="F171:I171"/>
    <mergeCell ref="F198:I198"/>
    <mergeCell ref="C199:D199"/>
    <mergeCell ref="C160:D160"/>
    <mergeCell ref="F172:I172"/>
    <mergeCell ref="C175:D175"/>
    <mergeCell ref="F188:I188"/>
    <mergeCell ref="F179:I179"/>
    <mergeCell ref="F167:I167"/>
    <mergeCell ref="C165:D165"/>
    <mergeCell ref="C177:D177"/>
    <mergeCell ref="F161:I161"/>
    <mergeCell ref="F181:I181"/>
    <mergeCell ref="C180:D180"/>
    <mergeCell ref="F164:I164"/>
    <mergeCell ref="F183:I183"/>
    <mergeCell ref="C181:D181"/>
    <mergeCell ref="C173:D173"/>
    <mergeCell ref="F182:I182"/>
    <mergeCell ref="C162:D162"/>
    <mergeCell ref="F163:I163"/>
    <mergeCell ref="F173:I173"/>
    <mergeCell ref="F177:I177"/>
    <mergeCell ref="F184:I184"/>
    <mergeCell ref="F166:I166"/>
    <mergeCell ref="C134:D134"/>
    <mergeCell ref="F111:I111"/>
    <mergeCell ref="F125:I125"/>
    <mergeCell ref="F120:I120"/>
    <mergeCell ref="C131:D131"/>
    <mergeCell ref="F123:I123"/>
    <mergeCell ref="C119:D119"/>
    <mergeCell ref="F118:I118"/>
    <mergeCell ref="C125:D125"/>
    <mergeCell ref="C123:D123"/>
    <mergeCell ref="C124:D124"/>
    <mergeCell ref="C113:D113"/>
    <mergeCell ref="C115:D115"/>
    <mergeCell ref="F134:I134"/>
    <mergeCell ref="C121:D121"/>
    <mergeCell ref="C166:D166"/>
    <mergeCell ref="C111:D111"/>
    <mergeCell ref="F117:I117"/>
    <mergeCell ref="F142:I142"/>
    <mergeCell ref="F137:I137"/>
    <mergeCell ref="C163:D163"/>
    <mergeCell ref="C141:D141"/>
    <mergeCell ref="C156:D156"/>
    <mergeCell ref="C216:D216"/>
    <mergeCell ref="A188:B188"/>
    <mergeCell ref="A215:B215"/>
    <mergeCell ref="C215:D215"/>
    <mergeCell ref="C186:D186"/>
    <mergeCell ref="C201:D201"/>
    <mergeCell ref="C202:D202"/>
    <mergeCell ref="C167:D167"/>
    <mergeCell ref="C171:D171"/>
    <mergeCell ref="C183:D183"/>
    <mergeCell ref="A203:B203"/>
    <mergeCell ref="A212:B212"/>
    <mergeCell ref="A209:B209"/>
    <mergeCell ref="A197:B197"/>
    <mergeCell ref="A206:B206"/>
    <mergeCell ref="C205:D205"/>
    <mergeCell ref="C198:D198"/>
    <mergeCell ref="C172:D172"/>
    <mergeCell ref="C174:D174"/>
    <mergeCell ref="C185:D185"/>
    <mergeCell ref="C168:D168"/>
    <mergeCell ref="A191:B191"/>
    <mergeCell ref="C191:D191"/>
    <mergeCell ref="C159:D159"/>
    <mergeCell ref="F160:I160"/>
    <mergeCell ref="A21:B21"/>
    <mergeCell ref="A102:B102"/>
    <mergeCell ref="F102:I102"/>
    <mergeCell ref="C109:D109"/>
    <mergeCell ref="F113:I113"/>
    <mergeCell ref="C110:D110"/>
    <mergeCell ref="F109:I109"/>
    <mergeCell ref="F105:I105"/>
    <mergeCell ref="F108:I108"/>
    <mergeCell ref="F107:I107"/>
    <mergeCell ref="C107:D107"/>
    <mergeCell ref="F103:I103"/>
    <mergeCell ref="C104:D104"/>
    <mergeCell ref="F104:I104"/>
    <mergeCell ref="C106:D106"/>
    <mergeCell ref="C21:D21"/>
    <mergeCell ref="A111:B111"/>
    <mergeCell ref="F121:I121"/>
    <mergeCell ref="F119:I119"/>
    <mergeCell ref="C157:D157"/>
    <mergeCell ref="C102:D102"/>
    <mergeCell ref="C24:D24"/>
  </mergeCells>
  <pageMargins left="0.78740157480314965" right="0.39370078740157483" top="0.78740157480314965" bottom="0.78740157480314965" header="0.39370078740157483" footer="0.39370078740157483"/>
  <pageSetup paperSize="9" scale="52" firstPageNumber="4" fitToHeight="500" orientation="landscape" useFirstPageNumber="1" horizontalDpi="300" verticalDpi="300" r:id="rId4"/>
  <headerFooter alignWithMargins="0">
    <oddHeader>&amp;C&amp;"Times New Roman,обычный"&amp;14&amp;P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З</vt:lpstr>
      <vt:lpstr>НА</vt:lpstr>
      <vt:lpstr>З!Заголовки_для_печати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</cp:lastModifiedBy>
  <cp:lastPrinted>2025-12-16T12:27:19Z</cp:lastPrinted>
  <dcterms:created xsi:type="dcterms:W3CDTF">2015-06-05T18:19:34Z</dcterms:created>
  <dcterms:modified xsi:type="dcterms:W3CDTF">2025-12-16T15:57:41Z</dcterms:modified>
</cp:coreProperties>
</file>