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230" activeTab="1"/>
  </bookViews>
  <sheets>
    <sheet name="З" sheetId="1" r:id="rId1"/>
    <sheet name="НА" sheetId="2" r:id="rId2"/>
  </sheets>
  <definedNames>
    <definedName name="_xlnm._FilterDatabase" localSheetId="0" hidden="1">З!$A$13:$D$393</definedName>
    <definedName name="_xlnm._FilterDatabase" localSheetId="1" hidden="1">НА!$A$5:$I$530</definedName>
    <definedName name="Z_4644111A_82C5_489B_9E53_EB80700E535E_.wvu.FilterData" localSheetId="0" hidden="1">З!$A$13:$D$393</definedName>
    <definedName name="Z_4644111A_82C5_489B_9E53_EB80700E535E_.wvu.FilterData" localSheetId="1" hidden="1">НА!$A$5:$I$530</definedName>
    <definedName name="Z_4644111A_82C5_489B_9E53_EB80700E535E_.wvu.PrintArea" localSheetId="0" hidden="1">З!$A$1:$D$392</definedName>
    <definedName name="Z_4644111A_82C5_489B_9E53_EB80700E535E_.wvu.PrintArea" localSheetId="1" hidden="1">НА!$A$1:$I$533</definedName>
    <definedName name="Z_4644111A_82C5_489B_9E53_EB80700E535E_.wvu.PrintTitles" localSheetId="0" hidden="1">З!$A:$C,З!$10:$13</definedName>
    <definedName name="Z_4644111A_82C5_489B_9E53_EB80700E535E_.wvu.PrintTitles" localSheetId="1" hidden="1">НА!$5:$10</definedName>
    <definedName name="Z_879B1E14_7CA4_4463_9C42_4E2586107585_.wvu.FilterData" localSheetId="0" hidden="1">З!$A$13:$D$393</definedName>
    <definedName name="Z_879B1E14_7CA4_4463_9C42_4E2586107585_.wvu.FilterData" localSheetId="1" hidden="1">НА!$A$5:$I$530</definedName>
    <definedName name="Z_879B1E14_7CA4_4463_9C42_4E2586107585_.wvu.PrintArea" localSheetId="0" hidden="1">З!$A$1:$D$392</definedName>
    <definedName name="Z_879B1E14_7CA4_4463_9C42_4E2586107585_.wvu.PrintArea" localSheetId="1" hidden="1">НА!$A$1:$I$533</definedName>
    <definedName name="Z_879B1E14_7CA4_4463_9C42_4E2586107585_.wvu.PrintTitles" localSheetId="0" hidden="1">З!$A:$C,З!$10:$13</definedName>
    <definedName name="Z_879B1E14_7CA4_4463_9C42_4E2586107585_.wvu.PrintTitles" localSheetId="1" hidden="1">НА!$5:$10</definedName>
    <definedName name="Z_C9A6F9B2_0582_46B8_BF5A_2A8D2AC01FE2_.wvu.FilterData" localSheetId="0" hidden="1">З!$A$13:$D$393</definedName>
    <definedName name="Z_C9A6F9B2_0582_46B8_BF5A_2A8D2AC01FE2_.wvu.FilterData" localSheetId="1" hidden="1">НА!$A$5:$I$530</definedName>
    <definedName name="Z_C9A6F9B2_0582_46B8_BF5A_2A8D2AC01FE2_.wvu.PrintArea" localSheetId="0" hidden="1">З!$A$1:$D$392</definedName>
    <definedName name="Z_C9A6F9B2_0582_46B8_BF5A_2A8D2AC01FE2_.wvu.PrintArea" localSheetId="1" hidden="1">НА!$A$1:$I$533</definedName>
    <definedName name="Z_C9A6F9B2_0582_46B8_BF5A_2A8D2AC01FE2_.wvu.PrintTitles" localSheetId="0" hidden="1">З!$A:$C,З!$10:$13</definedName>
    <definedName name="Z_C9A6F9B2_0582_46B8_BF5A_2A8D2AC01FE2_.wvu.PrintTitles" localSheetId="1" hidden="1">НА!$5:$10</definedName>
    <definedName name="_xlnm.Print_Titles" localSheetId="0">З!$A:$C,З!$10:$13</definedName>
    <definedName name="_xlnm.Print_Titles" localSheetId="1">НА!$5:$10</definedName>
    <definedName name="_xlnm.Print_Area" localSheetId="0">З!$A$1:$D$393</definedName>
    <definedName name="_xlnm.Print_Area" localSheetId="1">НА!$A$1:$I$533</definedName>
  </definedNames>
  <calcPr calcId="145621"/>
  <customWorkbookViews>
    <customWorkbookView name="Гаврилюк Олена - Особисте подання" guid="{4644111A-82C5-489B-9E53-EB80700E535E}" mergeInterval="0" personalView="1" maximized="1" xWindow="-8" yWindow="-8" windowWidth="1296" windowHeight="696" activeSheetId="2"/>
    <customWorkbookView name="Грешних Наталія - Особисте подання" guid="{879B1E14-7CA4-4463-9C42-4E2586107585}" mergeInterval="0" personalView="1" maximized="1" xWindow="-8" yWindow="-8" windowWidth="1936" windowHeight="1056" activeSheetId="2"/>
    <customWorkbookView name="Рябова Наталія - Особисте подання" guid="{C9A6F9B2-0582-46B8-BF5A-2A8D2AC01FE2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F512" i="2" l="1"/>
  <c r="E233" i="2"/>
  <c r="E300" i="2"/>
  <c r="E238" i="2"/>
  <c r="F97" i="2" l="1"/>
  <c r="F76" i="2"/>
  <c r="F59" i="2"/>
  <c r="D20" i="1" l="1"/>
  <c r="F416" i="2" l="1"/>
  <c r="F121" i="2" l="1"/>
  <c r="F118" i="2"/>
  <c r="F150" i="2" l="1"/>
  <c r="F149" i="2"/>
  <c r="F148" i="2"/>
  <c r="F147" i="2"/>
  <c r="F146" i="2"/>
  <c r="F145" i="2"/>
  <c r="F144" i="2"/>
  <c r="F143" i="2"/>
  <c r="F142" i="2"/>
  <c r="F139" i="2" l="1"/>
  <c r="F138" i="2"/>
  <c r="F135" i="2"/>
  <c r="F134" i="2"/>
  <c r="F133" i="2"/>
  <c r="F132" i="2"/>
  <c r="E132" i="2" s="1"/>
  <c r="F129" i="2"/>
  <c r="E129" i="2" s="1"/>
  <c r="F124" i="2"/>
  <c r="F123" i="2"/>
  <c r="E123" i="2"/>
  <c r="F122" i="2"/>
  <c r="F120" i="2"/>
  <c r="F119" i="2"/>
  <c r="D22" i="1"/>
  <c r="D19" i="1" l="1"/>
  <c r="H61" i="2" l="1"/>
  <c r="F83" i="2"/>
  <c r="E83" i="2"/>
  <c r="F81" i="2"/>
  <c r="E81" i="2" s="1"/>
  <c r="F70" i="2"/>
  <c r="D44" i="1"/>
  <c r="F440" i="2" l="1"/>
  <c r="D87" i="1" l="1"/>
  <c r="D60" i="1"/>
  <c r="F482" i="2" l="1"/>
  <c r="D257" i="1" l="1"/>
  <c r="E235" i="2" l="1"/>
  <c r="E402" i="2" l="1"/>
  <c r="D261" i="1" l="1"/>
  <c r="D260" i="1" s="1"/>
  <c r="F464" i="2" l="1"/>
  <c r="F459" i="2"/>
  <c r="E459" i="2" s="1"/>
  <c r="F452" i="2"/>
  <c r="E452" i="2" s="1"/>
  <c r="F449" i="2"/>
  <c r="E449" i="2" s="1"/>
  <c r="F448" i="2"/>
  <c r="F437" i="2"/>
  <c r="E437" i="2" s="1"/>
  <c r="E308" i="2"/>
  <c r="E295" i="2"/>
  <c r="E271" i="2"/>
  <c r="E256" i="2"/>
  <c r="E234" i="2"/>
  <c r="F515" i="2" l="1"/>
  <c r="E16" i="2"/>
  <c r="F228" i="2" l="1"/>
  <c r="F227" i="2"/>
  <c r="E207" i="2" l="1"/>
  <c r="E206" i="2"/>
  <c r="E205" i="2"/>
  <c r="F522" i="2" l="1"/>
  <c r="D96" i="1" l="1"/>
  <c r="F114" i="2" l="1"/>
  <c r="E391" i="2" l="1"/>
  <c r="E386" i="2"/>
  <c r="E385" i="2"/>
  <c r="E364" i="2"/>
  <c r="E347" i="2"/>
  <c r="E326" i="2"/>
  <c r="E325" i="2"/>
  <c r="H230" i="2" l="1"/>
  <c r="E230" i="2" s="1"/>
  <c r="F229" i="2"/>
  <c r="F226" i="2" s="1"/>
  <c r="H228" i="2"/>
  <c r="E228" i="2" s="1"/>
  <c r="H227" i="2"/>
  <c r="E227" i="2" s="1"/>
  <c r="E229" i="2" l="1"/>
  <c r="H226" i="2"/>
  <c r="E225" i="2" s="1"/>
  <c r="F413" i="2"/>
  <c r="D266" i="1" l="1"/>
  <c r="D264" i="1"/>
  <c r="F472" i="2" l="1"/>
  <c r="E472" i="2"/>
  <c r="E471" i="2" s="1"/>
  <c r="F153" i="2"/>
  <c r="F157" i="2"/>
  <c r="F158" i="2"/>
  <c r="F159" i="2"/>
  <c r="F162" i="2"/>
  <c r="F433" i="2" l="1"/>
  <c r="F429" i="2" l="1"/>
  <c r="E429" i="2"/>
  <c r="E428" i="2" s="1"/>
  <c r="D386" i="1" l="1"/>
  <c r="D385" i="1"/>
  <c r="D384" i="1"/>
  <c r="D382" i="1"/>
  <c r="D381" i="1"/>
  <c r="D383" i="1"/>
  <c r="D177" i="1"/>
  <c r="D380" i="1" l="1"/>
  <c r="D26" i="1"/>
  <c r="D25" i="1"/>
  <c r="F126" i="2" l="1"/>
  <c r="D30" i="1" l="1"/>
  <c r="D29" i="1"/>
  <c r="D390" i="1" l="1"/>
  <c r="D389" i="1" s="1"/>
  <c r="D251" i="1"/>
  <c r="D250" i="1" s="1"/>
  <c r="D249" i="1"/>
  <c r="F189" i="2" l="1"/>
  <c r="F169" i="2"/>
  <c r="D270" i="1" l="1"/>
  <c r="D48" i="1"/>
  <c r="D363" i="1" l="1"/>
  <c r="E478" i="2" l="1"/>
  <c r="E477" i="2" s="1"/>
  <c r="F481" i="2" l="1"/>
  <c r="F518" i="2" l="1"/>
  <c r="E518" i="2" s="1"/>
  <c r="E517" i="2" s="1"/>
  <c r="F103" i="2" l="1"/>
  <c r="F64" i="2"/>
  <c r="F425" i="2" l="1"/>
  <c r="F528" i="2"/>
  <c r="F74" i="2" l="1"/>
  <c r="F66" i="2"/>
  <c r="F62" i="2"/>
  <c r="F185" i="2" l="1"/>
  <c r="D268" i="1"/>
  <c r="F104" i="2" l="1"/>
  <c r="F61" i="2"/>
  <c r="D80" i="1"/>
  <c r="D71" i="1"/>
  <c r="D269" i="1"/>
  <c r="E241" i="2" l="1"/>
  <c r="E464" i="2" l="1"/>
  <c r="F463" i="2"/>
  <c r="E462" i="2"/>
  <c r="E458" i="2"/>
  <c r="E460" i="2"/>
  <c r="E454" i="2"/>
  <c r="E455" i="2"/>
  <c r="E450" i="2"/>
  <c r="E448" i="2"/>
  <c r="E445" i="2"/>
  <c r="F444" i="2"/>
  <c r="F443" i="2"/>
  <c r="E442" i="2"/>
  <c r="F438" i="2" l="1"/>
  <c r="E312" i="2" l="1"/>
  <c r="E311" i="2"/>
  <c r="E310" i="2"/>
  <c r="E307" i="2"/>
  <c r="E306" i="2"/>
  <c r="E305" i="2"/>
  <c r="E304" i="2"/>
  <c r="E303" i="2"/>
  <c r="E302" i="2"/>
  <c r="E301" i="2"/>
  <c r="E299" i="2"/>
  <c r="E294" i="2"/>
  <c r="E292" i="2"/>
  <c r="E291" i="2"/>
  <c r="E289" i="2"/>
  <c r="E288" i="2"/>
  <c r="E286" i="2"/>
  <c r="E284" i="2"/>
  <c r="E283" i="2"/>
  <c r="E282" i="2"/>
  <c r="E281" i="2"/>
  <c r="E280" i="2"/>
  <c r="E279" i="2"/>
  <c r="E278" i="2"/>
  <c r="E277" i="2"/>
  <c r="E276" i="2"/>
  <c r="E274" i="2"/>
  <c r="E273" i="2"/>
  <c r="E272" i="2"/>
  <c r="E270" i="2"/>
  <c r="E269" i="2"/>
  <c r="E268" i="2"/>
  <c r="E267" i="2"/>
  <c r="E266" i="2"/>
  <c r="E265" i="2"/>
  <c r="E264" i="2"/>
  <c r="E260" i="2"/>
  <c r="E259" i="2"/>
  <c r="E257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0" i="2"/>
  <c r="E237" i="2"/>
  <c r="E236" i="2"/>
  <c r="D34" i="1" l="1"/>
  <c r="F107" i="2" l="1"/>
  <c r="F101" i="2"/>
  <c r="F99" i="2"/>
  <c r="F78" i="2"/>
  <c r="E481" i="2" l="1"/>
  <c r="D277" i="1" l="1"/>
  <c r="D178" i="1"/>
  <c r="F432" i="2" l="1"/>
  <c r="E433" i="2"/>
  <c r="F202" i="2" l="1"/>
  <c r="F201" i="2"/>
  <c r="F200" i="2"/>
  <c r="F199" i="2"/>
  <c r="F198" i="2"/>
  <c r="F197" i="2"/>
  <c r="F196" i="2"/>
  <c r="F195" i="2"/>
  <c r="F194" i="2"/>
  <c r="F193" i="2"/>
  <c r="F192" i="2"/>
  <c r="F191" i="2"/>
  <c r="F190" i="2"/>
  <c r="F188" i="2"/>
  <c r="F187" i="2"/>
  <c r="F186" i="2"/>
  <c r="F184" i="2"/>
  <c r="F183" i="2"/>
  <c r="F182" i="2"/>
  <c r="F181" i="2"/>
  <c r="F180" i="2"/>
  <c r="F179" i="2"/>
  <c r="F178" i="2"/>
  <c r="F177" i="2"/>
  <c r="F176" i="2"/>
  <c r="F175" i="2"/>
  <c r="H174" i="2"/>
  <c r="F174" i="2"/>
  <c r="H173" i="2"/>
  <c r="F173" i="2"/>
  <c r="F172" i="2"/>
  <c r="H171" i="2"/>
  <c r="F171" i="2"/>
  <c r="F170" i="2"/>
  <c r="H169" i="2"/>
  <c r="F422" i="2" l="1"/>
  <c r="D259" i="1" l="1"/>
  <c r="D258" i="1" s="1"/>
  <c r="D40" i="1" l="1"/>
  <c r="E439" i="2" l="1"/>
  <c r="E440" i="2"/>
  <c r="E441" i="2"/>
  <c r="E443" i="2"/>
  <c r="E444" i="2"/>
  <c r="E446" i="2"/>
  <c r="E447" i="2"/>
  <c r="E451" i="2"/>
  <c r="E453" i="2"/>
  <c r="E456" i="2"/>
  <c r="E457" i="2"/>
  <c r="E461" i="2"/>
  <c r="E463" i="2"/>
  <c r="E465" i="2"/>
  <c r="E438" i="2"/>
  <c r="E436" i="2" l="1"/>
  <c r="F115" i="2"/>
  <c r="E115" i="2" s="1"/>
  <c r="F113" i="2"/>
  <c r="E113" i="2" s="1"/>
  <c r="F112" i="2"/>
  <c r="E112" i="2" s="1"/>
  <c r="F111" i="2"/>
  <c r="E111" i="2" s="1"/>
  <c r="F110" i="2"/>
  <c r="F109" i="2"/>
  <c r="E109" i="2" s="1"/>
  <c r="F108" i="2"/>
  <c r="E108" i="2" s="1"/>
  <c r="E107" i="2"/>
  <c r="F106" i="2"/>
  <c r="F105" i="2"/>
  <c r="E105" i="2" s="1"/>
  <c r="E104" i="2"/>
  <c r="E103" i="2"/>
  <c r="F102" i="2"/>
  <c r="E102" i="2" s="1"/>
  <c r="E101" i="2"/>
  <c r="F100" i="2"/>
  <c r="E100" i="2" s="1"/>
  <c r="E99" i="2"/>
  <c r="F98" i="2"/>
  <c r="E98" i="2" s="1"/>
  <c r="E97" i="2"/>
  <c r="F96" i="2"/>
  <c r="E96" i="2" s="1"/>
  <c r="F95" i="2"/>
  <c r="F94" i="2"/>
  <c r="E94" i="2" s="1"/>
  <c r="F93" i="2"/>
  <c r="E93" i="2" s="1"/>
  <c r="F92" i="2"/>
  <c r="E92" i="2" s="1"/>
  <c r="F91" i="2"/>
  <c r="F90" i="2"/>
  <c r="E90" i="2" s="1"/>
  <c r="F89" i="2"/>
  <c r="E89" i="2" s="1"/>
  <c r="F88" i="2"/>
  <c r="E88" i="2" s="1"/>
  <c r="F87" i="2"/>
  <c r="E87" i="2" s="1"/>
  <c r="F86" i="2"/>
  <c r="E86" i="2" s="1"/>
  <c r="F85" i="2"/>
  <c r="E85" i="2" s="1"/>
  <c r="F84" i="2"/>
  <c r="E84" i="2" s="1"/>
  <c r="F82" i="2"/>
  <c r="E82" i="2" s="1"/>
  <c r="F80" i="2"/>
  <c r="E80" i="2" s="1"/>
  <c r="F79" i="2"/>
  <c r="E79" i="2" s="1"/>
  <c r="F77" i="2"/>
  <c r="E77" i="2" s="1"/>
  <c r="E76" i="2"/>
  <c r="F75" i="2"/>
  <c r="E75" i="2" s="1"/>
  <c r="E74" i="2"/>
  <c r="F73" i="2"/>
  <c r="E73" i="2" s="1"/>
  <c r="F72" i="2"/>
  <c r="E72" i="2" s="1"/>
  <c r="F71" i="2"/>
  <c r="E71" i="2" s="1"/>
  <c r="E70" i="2"/>
  <c r="F69" i="2"/>
  <c r="E69" i="2" s="1"/>
  <c r="F68" i="2"/>
  <c r="E68" i="2" s="1"/>
  <c r="F67" i="2"/>
  <c r="E67" i="2" s="1"/>
  <c r="E66" i="2"/>
  <c r="F65" i="2"/>
  <c r="E65" i="2" s="1"/>
  <c r="E64" i="2"/>
  <c r="F63" i="2"/>
  <c r="E63" i="2" s="1"/>
  <c r="E62" i="2"/>
  <c r="H58" i="2"/>
  <c r="F60" i="2"/>
  <c r="E60" i="2" s="1"/>
  <c r="E78" i="2"/>
  <c r="E91" i="2"/>
  <c r="E95" i="2"/>
  <c r="E106" i="2"/>
  <c r="E110" i="2"/>
  <c r="E114" i="2"/>
  <c r="E59" i="2"/>
  <c r="E61" i="2" l="1"/>
  <c r="F58" i="2"/>
  <c r="E57" i="2"/>
  <c r="D311" i="1"/>
  <c r="E46" i="2" l="1"/>
  <c r="E298" i="2" l="1"/>
  <c r="E239" i="2"/>
  <c r="E216" i="2" l="1"/>
  <c r="D387" i="1" l="1"/>
  <c r="E204" i="2" l="1"/>
  <c r="D73" i="1"/>
  <c r="D342" i="1" l="1"/>
  <c r="D243" i="1"/>
  <c r="E400" i="2" l="1"/>
  <c r="E399" i="2" s="1"/>
  <c r="D304" i="1" l="1"/>
  <c r="D205" i="1"/>
  <c r="F125" i="2" l="1"/>
  <c r="E51" i="2" l="1"/>
  <c r="D97" i="1" l="1"/>
  <c r="D62" i="1"/>
  <c r="F507" i="2" l="1"/>
  <c r="E507" i="2" s="1"/>
  <c r="F506" i="2"/>
  <c r="E506" i="2" s="1"/>
  <c r="F487" i="2"/>
  <c r="E487" i="2" s="1"/>
  <c r="F486" i="2"/>
  <c r="E486" i="2" s="1"/>
  <c r="F509" i="2"/>
  <c r="E509" i="2"/>
  <c r="F508" i="2"/>
  <c r="E508" i="2" s="1"/>
  <c r="F505" i="2"/>
  <c r="E505" i="2" s="1"/>
  <c r="F504" i="2"/>
  <c r="E504" i="2" s="1"/>
  <c r="F503" i="2"/>
  <c r="E503" i="2" s="1"/>
  <c r="F502" i="2"/>
  <c r="E502" i="2" s="1"/>
  <c r="F501" i="2"/>
  <c r="E501" i="2" s="1"/>
  <c r="F500" i="2"/>
  <c r="E500" i="2" s="1"/>
  <c r="F499" i="2"/>
  <c r="E499" i="2" s="1"/>
  <c r="F498" i="2"/>
  <c r="E498" i="2" s="1"/>
  <c r="F497" i="2"/>
  <c r="E497" i="2" s="1"/>
  <c r="F496" i="2"/>
  <c r="E496" i="2" s="1"/>
  <c r="F495" i="2"/>
  <c r="E495" i="2" s="1"/>
  <c r="F494" i="2"/>
  <c r="E494" i="2" s="1"/>
  <c r="F493" i="2"/>
  <c r="E493" i="2" s="1"/>
  <c r="F492" i="2"/>
  <c r="E492" i="2" s="1"/>
  <c r="F491" i="2"/>
  <c r="E491" i="2" s="1"/>
  <c r="F490" i="2"/>
  <c r="E490" i="2" s="1"/>
  <c r="F489" i="2"/>
  <c r="E489" i="2" s="1"/>
  <c r="F488" i="2"/>
  <c r="E488" i="2" s="1"/>
  <c r="E485" i="2" l="1"/>
  <c r="D327" i="1"/>
  <c r="D228" i="1"/>
  <c r="D91" i="1" l="1"/>
  <c r="D42" i="1" l="1"/>
  <c r="E217" i="2" l="1"/>
  <c r="D36" i="1"/>
  <c r="D256" i="1"/>
  <c r="D255" i="1"/>
  <c r="D254" i="1" s="1"/>
  <c r="D253" i="1"/>
  <c r="D252" i="1" s="1"/>
  <c r="D94" i="1"/>
  <c r="D54" i="1" l="1"/>
  <c r="E139" i="2" l="1"/>
  <c r="E138" i="2"/>
  <c r="F137" i="2"/>
  <c r="E137" i="2" s="1"/>
  <c r="F136" i="2"/>
  <c r="E136" i="2" s="1"/>
  <c r="E135" i="2"/>
  <c r="E134" i="2"/>
  <c r="E133" i="2"/>
  <c r="F131" i="2"/>
  <c r="E131" i="2" s="1"/>
  <c r="F130" i="2"/>
  <c r="E130" i="2" s="1"/>
  <c r="F128" i="2"/>
  <c r="E128" i="2" s="1"/>
  <c r="F127" i="2"/>
  <c r="E127" i="2" s="1"/>
  <c r="E126" i="2"/>
  <c r="E125" i="2"/>
  <c r="E124" i="2"/>
  <c r="E122" i="2"/>
  <c r="E121" i="2"/>
  <c r="E120" i="2"/>
  <c r="E119" i="2"/>
  <c r="E118" i="2"/>
  <c r="D21" i="1"/>
  <c r="E117" i="2" l="1"/>
  <c r="D378" i="1" l="1"/>
  <c r="D376" i="1"/>
  <c r="D375" i="1"/>
  <c r="D373" i="1"/>
  <c r="D372" i="1"/>
  <c r="D361" i="1"/>
  <c r="D360" i="1"/>
  <c r="D359" i="1"/>
  <c r="D358" i="1"/>
  <c r="D357" i="1"/>
  <c r="D356" i="1"/>
  <c r="F525" i="2" l="1"/>
  <c r="D52" i="1" l="1"/>
  <c r="D367" i="1" l="1"/>
  <c r="D379" i="1"/>
  <c r="D377" i="1"/>
  <c r="D374" i="1"/>
  <c r="D371" i="1"/>
  <c r="D370" i="1"/>
  <c r="D369" i="1"/>
  <c r="D368" i="1"/>
  <c r="D366" i="1"/>
  <c r="D365" i="1"/>
  <c r="D364" i="1"/>
  <c r="D362" i="1"/>
  <c r="D355" i="1"/>
  <c r="D354" i="1"/>
  <c r="D353" i="1"/>
  <c r="D352" i="1" l="1"/>
  <c r="F165" i="2"/>
  <c r="E165" i="2" s="1"/>
  <c r="F164" i="2"/>
  <c r="E164" i="2" s="1"/>
  <c r="F163" i="2"/>
  <c r="E163" i="2" s="1"/>
  <c r="F161" i="2"/>
  <c r="E161" i="2" s="1"/>
  <c r="F160" i="2"/>
  <c r="E160" i="2" s="1"/>
  <c r="E159" i="2"/>
  <c r="E157" i="2"/>
  <c r="F156" i="2"/>
  <c r="E156" i="2" s="1"/>
  <c r="F155" i="2"/>
  <c r="E155" i="2" s="1"/>
  <c r="E158" i="2"/>
  <c r="E162" i="2"/>
  <c r="F154" i="2"/>
  <c r="E154" i="2" s="1"/>
  <c r="H157" i="2"/>
  <c r="H156" i="2"/>
  <c r="H154" i="2"/>
  <c r="D267" i="1"/>
  <c r="D38" i="1"/>
  <c r="D37" i="1" s="1"/>
  <c r="E20" i="2" l="1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D18" i="1"/>
  <c r="E49" i="2" l="1"/>
  <c r="E482" i="2" l="1"/>
  <c r="F475" i="2"/>
  <c r="E434" i="2"/>
  <c r="E309" i="2" l="1"/>
  <c r="E297" i="2"/>
  <c r="E296" i="2"/>
  <c r="E293" i="2"/>
  <c r="E290" i="2"/>
  <c r="E287" i="2"/>
  <c r="E285" i="2"/>
  <c r="E275" i="2"/>
  <c r="E263" i="2"/>
  <c r="E262" i="2"/>
  <c r="E261" i="2"/>
  <c r="E258" i="2"/>
  <c r="E232" i="2" l="1"/>
  <c r="D278" i="1"/>
  <c r="D179" i="1"/>
  <c r="D349" i="1" l="1"/>
  <c r="D280" i="1" l="1"/>
  <c r="D181" i="1"/>
  <c r="D332" i="1" l="1"/>
  <c r="D312" i="1"/>
  <c r="D233" i="1"/>
  <c r="D213" i="1"/>
  <c r="D160" i="1"/>
  <c r="D334" i="1" l="1"/>
  <c r="D235" i="1"/>
  <c r="E223" i="2" l="1"/>
  <c r="E222" i="2"/>
  <c r="E221" i="2"/>
  <c r="E220" i="2"/>
  <c r="E219" i="2"/>
  <c r="E218" i="2"/>
  <c r="E215" i="2"/>
  <c r="E214" i="2"/>
  <c r="E212" i="2"/>
  <c r="E211" i="2"/>
  <c r="E210" i="2"/>
  <c r="E213" i="2"/>
  <c r="D31" i="1"/>
  <c r="E209" i="2" l="1"/>
  <c r="E202" i="2"/>
  <c r="D90" i="1" l="1"/>
  <c r="D70" i="1"/>
  <c r="D63" i="1"/>
  <c r="D263" i="1" l="1"/>
  <c r="E54" i="2" l="1"/>
  <c r="E53" i="2"/>
  <c r="E48" i="2"/>
  <c r="E47" i="2"/>
  <c r="D320" i="1" l="1"/>
  <c r="D221" i="1"/>
  <c r="D336" i="1" l="1"/>
  <c r="D237" i="1"/>
  <c r="D82" i="1" l="1"/>
  <c r="D329" i="1"/>
  <c r="D318" i="1"/>
  <c r="D293" i="1"/>
  <c r="D230" i="1"/>
  <c r="D194" i="1"/>
  <c r="D219" i="1"/>
  <c r="D265" i="1" l="1"/>
  <c r="D53" i="1"/>
  <c r="D51" i="1" s="1"/>
  <c r="E153" i="2" l="1"/>
  <c r="E152" i="2" s="1"/>
  <c r="D24" i="1"/>
  <c r="D23" i="1" s="1"/>
  <c r="D337" i="1" l="1"/>
  <c r="D315" i="1"/>
  <c r="D306" i="1"/>
  <c r="D279" i="1"/>
  <c r="D180" i="1"/>
  <c r="D216" i="1"/>
  <c r="D207" i="1"/>
  <c r="D238" i="1"/>
  <c r="D61" i="1" l="1"/>
  <c r="F469" i="2" l="1"/>
  <c r="E469" i="2" s="1"/>
  <c r="E55" i="2" l="1"/>
  <c r="D156" i="1" l="1"/>
  <c r="D350" i="1"/>
  <c r="D339" i="1"/>
  <c r="D328" i="1"/>
  <c r="D290" i="1"/>
  <c r="D298" i="1"/>
  <c r="D300" i="1"/>
  <c r="D317" i="1"/>
  <c r="D240" i="1"/>
  <c r="D229" i="1"/>
  <c r="D191" i="1"/>
  <c r="D199" i="1"/>
  <c r="D201" i="1"/>
  <c r="D218" i="1"/>
  <c r="D88" i="1" l="1"/>
  <c r="D331" i="1" l="1"/>
  <c r="D232" i="1"/>
  <c r="D351" i="1" l="1"/>
  <c r="D338" i="1"/>
  <c r="D335" i="1"/>
  <c r="D321" i="1"/>
  <c r="D307" i="1"/>
  <c r="D299" i="1"/>
  <c r="D294" i="1"/>
  <c r="D292" i="1"/>
  <c r="D289" i="1"/>
  <c r="D283" i="1"/>
  <c r="D276" i="1"/>
  <c r="D184" i="1"/>
  <c r="D176" i="1"/>
  <c r="D239" i="1"/>
  <c r="D236" i="1"/>
  <c r="D222" i="1"/>
  <c r="D208" i="1"/>
  <c r="D200" i="1"/>
  <c r="D195" i="1"/>
  <c r="D190" i="1"/>
  <c r="D193" i="1"/>
  <c r="E397" i="2" l="1"/>
  <c r="E396" i="2"/>
  <c r="E395" i="2"/>
  <c r="E394" i="2"/>
  <c r="E393" i="2"/>
  <c r="E392" i="2"/>
  <c r="E390" i="2"/>
  <c r="E389" i="2"/>
  <c r="E388" i="2"/>
  <c r="E387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 l="1"/>
  <c r="E332" i="2"/>
  <c r="E331" i="2"/>
  <c r="E330" i="2"/>
  <c r="E329" i="2"/>
  <c r="E328" i="2"/>
  <c r="E327" i="2"/>
  <c r="E324" i="2"/>
  <c r="E522" i="2"/>
  <c r="E520" i="2" s="1"/>
  <c r="F483" i="2" l="1"/>
  <c r="E483" i="2" s="1"/>
  <c r="E480" i="2" s="1"/>
  <c r="E45" i="2"/>
  <c r="E528" i="2" l="1"/>
  <c r="E527" i="2" s="1"/>
  <c r="D348" i="1" l="1"/>
  <c r="D347" i="1" s="1"/>
  <c r="D206" i="1" l="1"/>
  <c r="D305" i="1"/>
  <c r="D35" i="1" l="1"/>
  <c r="E323" i="2" l="1"/>
  <c r="D17" i="1"/>
  <c r="E19" i="2" l="1"/>
  <c r="D308" i="1"/>
  <c r="D285" i="1"/>
  <c r="D209" i="1"/>
  <c r="D186" i="1"/>
  <c r="D296" i="1" l="1"/>
  <c r="D197" i="1"/>
  <c r="E409" i="2" l="1"/>
  <c r="D248" i="1" l="1"/>
  <c r="D310" i="1" l="1"/>
  <c r="D275" i="1" s="1"/>
  <c r="D211" i="1"/>
  <c r="D175" i="1" s="1"/>
  <c r="F168" i="2" l="1"/>
  <c r="H168" i="2" l="1"/>
  <c r="E150" i="2"/>
  <c r="E149" i="2"/>
  <c r="E148" i="2"/>
  <c r="E147" i="2"/>
  <c r="E146" i="2"/>
  <c r="E145" i="2"/>
  <c r="E144" i="2"/>
  <c r="E143" i="2"/>
  <c r="E142" i="2"/>
  <c r="D43" i="1"/>
  <c r="E167" i="2" l="1"/>
  <c r="E141" i="2"/>
  <c r="D28" i="1"/>
  <c r="D27" i="1"/>
  <c r="D46" i="1"/>
  <c r="D45" i="1" s="1"/>
  <c r="D47" i="1"/>
  <c r="D50" i="1"/>
  <c r="D49" i="1" s="1"/>
  <c r="D174" i="1" l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 l="1"/>
  <c r="D122" i="1"/>
  <c r="D121" i="1"/>
  <c r="D120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3" i="1"/>
  <c r="D102" i="1"/>
  <c r="D101" i="1"/>
  <c r="D104" i="1" l="1"/>
  <c r="D99" i="1" l="1"/>
  <c r="D98" i="1"/>
  <c r="D95" i="1"/>
  <c r="D92" i="1"/>
  <c r="D89" i="1"/>
  <c r="D86" i="1"/>
  <c r="D85" i="1"/>
  <c r="D84" i="1"/>
  <c r="D81" i="1"/>
  <c r="D79" i="1"/>
  <c r="D78" i="1"/>
  <c r="D77" i="1"/>
  <c r="D76" i="1"/>
  <c r="D74" i="1"/>
  <c r="D72" i="1"/>
  <c r="D69" i="1"/>
  <c r="D68" i="1"/>
  <c r="D67" i="1"/>
  <c r="D65" i="1"/>
  <c r="D64" i="1"/>
  <c r="D59" i="1" s="1"/>
  <c r="E201" i="2" l="1"/>
  <c r="E197" i="2"/>
  <c r="E196" i="2"/>
  <c r="E195" i="2"/>
  <c r="E194" i="2"/>
  <c r="E193" i="2"/>
  <c r="E190" i="2"/>
  <c r="E186" i="2"/>
  <c r="E182" i="2"/>
  <c r="E181" i="2"/>
  <c r="E179" i="2"/>
  <c r="E178" i="2"/>
  <c r="E177" i="2"/>
  <c r="E176" i="2"/>
  <c r="E175" i="2"/>
  <c r="E174" i="2"/>
  <c r="E173" i="2"/>
  <c r="E171" i="2"/>
  <c r="E200" i="2"/>
  <c r="E199" i="2"/>
  <c r="E198" i="2"/>
  <c r="E191" i="2"/>
  <c r="E189" i="2"/>
  <c r="E188" i="2"/>
  <c r="E187" i="2"/>
  <c r="E185" i="2"/>
  <c r="E184" i="2"/>
  <c r="E180" i="2"/>
  <c r="E172" i="2"/>
  <c r="E170" i="2" l="1"/>
  <c r="E169" i="2"/>
  <c r="E192" i="2"/>
  <c r="E183" i="2"/>
  <c r="D39" i="1" l="1"/>
  <c r="F319" i="2" l="1"/>
  <c r="F316" i="2"/>
  <c r="F321" i="2"/>
  <c r="F320" i="2"/>
  <c r="F318" i="2"/>
  <c r="F317" i="2"/>
  <c r="F315" i="2"/>
  <c r="D119" i="1" l="1"/>
  <c r="D100" i="1" s="1"/>
  <c r="F419" i="2" l="1"/>
  <c r="E468" i="2" l="1"/>
  <c r="E467" i="2" s="1"/>
  <c r="D16" i="1" l="1"/>
  <c r="E14" i="2" l="1"/>
  <c r="E13" i="2" s="1"/>
  <c r="D274" i="1" l="1"/>
  <c r="D273" i="1" s="1"/>
  <c r="D58" i="1"/>
  <c r="D271" i="1" l="1"/>
  <c r="D393" i="1" s="1"/>
  <c r="E419" i="2"/>
  <c r="E418" i="2" s="1"/>
  <c r="E432" i="2" l="1"/>
  <c r="E431" i="2" s="1"/>
  <c r="E321" i="2" l="1"/>
  <c r="E319" i="2"/>
  <c r="E320" i="2"/>
  <c r="E318" i="2"/>
  <c r="E317" i="2"/>
  <c r="E315" i="2"/>
  <c r="E316" i="2" l="1"/>
  <c r="E314" i="2" s="1"/>
  <c r="E475" i="2" l="1"/>
  <c r="E474" i="2" s="1"/>
  <c r="D57" i="1" l="1"/>
  <c r="D55" i="1" s="1"/>
  <c r="E416" i="2" l="1"/>
  <c r="E415" i="2" s="1"/>
  <c r="E515" i="2" l="1"/>
  <c r="E514" i="2" s="1"/>
  <c r="E512" i="2" l="1"/>
  <c r="E511" i="2" s="1"/>
  <c r="E531" i="2" s="1"/>
  <c r="E525" i="2" l="1"/>
  <c r="E524" i="2" s="1"/>
  <c r="D15" i="1" l="1"/>
  <c r="E413" i="2" l="1"/>
  <c r="E412" i="2" s="1"/>
  <c r="E422" i="2" l="1"/>
  <c r="E425" i="2" l="1"/>
  <c r="E424" i="2" s="1"/>
  <c r="E421" i="2" l="1"/>
  <c r="E530" i="2" s="1"/>
  <c r="D41" i="1" l="1"/>
  <c r="D33" i="1"/>
  <c r="D392" i="1" l="1"/>
  <c r="D391" i="1"/>
  <c r="E529" i="2" l="1"/>
</calcChain>
</file>

<file path=xl/sharedStrings.xml><?xml version="1.0" encoding="utf-8"?>
<sst xmlns="http://schemas.openxmlformats.org/spreadsheetml/2006/main" count="1335" uniqueCount="332">
  <si>
    <t>Обласний бюджет</t>
  </si>
  <si>
    <t>Державний бюджет</t>
  </si>
  <si>
    <t>Код бюджету</t>
  </si>
  <si>
    <t>(код бюджету)</t>
  </si>
  <si>
    <t>з них</t>
  </si>
  <si>
    <t>Додаток 5</t>
  </si>
  <si>
    <t>Бюджет Дубовиківської сільської територіальної громади</t>
  </si>
  <si>
    <t xml:space="preserve">Бюджет Глеюватської сільської територіальної громади </t>
  </si>
  <si>
    <t xml:space="preserve">Бюджет Затишнянської сільської територіальної громади </t>
  </si>
  <si>
    <t xml:space="preserve">Бюджет Магдалинівської селищної територіальної громади </t>
  </si>
  <si>
    <t xml:space="preserve">Бюджет Обухівської селищної територіальної громади </t>
  </si>
  <si>
    <t xml:space="preserve">Бюджет Чернеччинської сільської територіальної громади </t>
  </si>
  <si>
    <t xml:space="preserve">Бюджет Підгородненської міської територіальної громади </t>
  </si>
  <si>
    <t xml:space="preserve">Бюджет Черкаської селищної територіальної громади </t>
  </si>
  <si>
    <t>Бюджет Брагинівської сільської територіальної громади</t>
  </si>
  <si>
    <t>Бюджет Вільногірської міської територіальної громади</t>
  </si>
  <si>
    <t>Бюджет Губиниської селищної територіальної громади</t>
  </si>
  <si>
    <t xml:space="preserve">Бюджет Дніпровської міської територіальної громади </t>
  </si>
  <si>
    <t>Бюджет Жовтоводської міської територіальної громади</t>
  </si>
  <si>
    <t>Бюджет Криворізької міської територіальної громади</t>
  </si>
  <si>
    <t>Бюджет Лозуватської сільської територіальної громади</t>
  </si>
  <si>
    <t>Бюджет Нікопольської міської територіальної громади</t>
  </si>
  <si>
    <t>Бюджет Новомосковської міської територіальної громади</t>
  </si>
  <si>
    <t>Бюджет Новопільської сільської територіальної громади</t>
  </si>
  <si>
    <t>Бюджет Павлоградської міської територіальної громади</t>
  </si>
  <si>
    <t>Бюджет Першотравенської міської територіальної громади</t>
  </si>
  <si>
    <t>Бюджет Петропавлівської селищної територіальної громади</t>
  </si>
  <si>
    <t>Бюджет Покровської сільської територіальної громади</t>
  </si>
  <si>
    <t>Бюджет П’ятихатської міської територіальної громади</t>
  </si>
  <si>
    <t>Бюджет Синельниківської міської територіальної громади</t>
  </si>
  <si>
    <t>Бюджет Тернівської міської територіальної громади</t>
  </si>
  <si>
    <t xml:space="preserve">Бюджет Марганецької міської територіальної громади </t>
  </si>
  <si>
    <t xml:space="preserve">Бюджет Покровської міської територіальної громади </t>
  </si>
  <si>
    <t>Бюджет Апостолівської міської територіальної громади</t>
  </si>
  <si>
    <t xml:space="preserve">Бюджет Богданівської сільської територіальної громади </t>
  </si>
  <si>
    <t xml:space="preserve">Бюджет Божедарівської селищної територіальної громади </t>
  </si>
  <si>
    <t xml:space="preserve">Бюджет Вербківської сільської територіальної громади </t>
  </si>
  <si>
    <t xml:space="preserve">Бюджет Зеленодольської міської територіальної громади </t>
  </si>
  <si>
    <t xml:space="preserve">Бюджет Грушівської сільської територіальної громади </t>
  </si>
  <si>
    <t xml:space="preserve">Бюджет Могилівської сільської територіальної громади </t>
  </si>
  <si>
    <t xml:space="preserve">Бюджет Новопокровської селищної територіальної громади </t>
  </si>
  <si>
    <t xml:space="preserve">Бюджет Солонянської селищної територіальної громади </t>
  </si>
  <si>
    <t xml:space="preserve">Бюджет Слобожанської селищної територіальної громади </t>
  </si>
  <si>
    <t xml:space="preserve">Бюджет Мирівської сільської територіальної громади </t>
  </si>
  <si>
    <t xml:space="preserve">Бюджет Васильківської селищної територіальної громади </t>
  </si>
  <si>
    <t xml:space="preserve">Бюджет Вишнівської селищної територіальної громади </t>
  </si>
  <si>
    <t xml:space="preserve">Бюджет Криничанської селищної територіальної громади </t>
  </si>
  <si>
    <t xml:space="preserve">Бюджет Покровської селищної територіальної громади </t>
  </si>
  <si>
    <t xml:space="preserve">Бюджет Роздорської селищної територіальної громади </t>
  </si>
  <si>
    <t xml:space="preserve">Бюджет Софіївської селищної  територіальної громади </t>
  </si>
  <si>
    <t xml:space="preserve">Бюджет Томаківської селищної територіальної громади </t>
  </si>
  <si>
    <t xml:space="preserve">Бюджет Царичанської селищної територіальної громади </t>
  </si>
  <si>
    <t xml:space="preserve">Бюджет Великомихайлівської сільської територіальної громади </t>
  </si>
  <si>
    <t xml:space="preserve">Бюджет Гречаноподівської сільської територіальної громади </t>
  </si>
  <si>
    <t xml:space="preserve">Бюджет Маломихайлівської сільської територіальної громади </t>
  </si>
  <si>
    <t xml:space="preserve">Бюджет Верхньодніпровської міської територіальної громади  </t>
  </si>
  <si>
    <t xml:space="preserve">Бюджет Межівської селищної територіальної громади </t>
  </si>
  <si>
    <t xml:space="preserve">Бюджет Червоногригорівської селищної територіальної громади </t>
  </si>
  <si>
    <t xml:space="preserve">Бюджет Троїцької сільської територіальної громади </t>
  </si>
  <si>
    <t xml:space="preserve">Бюджет Петриківської селищної територіальної громади </t>
  </si>
  <si>
    <t xml:space="preserve">Бюджет Раївської сільської територіальної громади </t>
  </si>
  <si>
    <t xml:space="preserve">Бюджет Іларіонівської селищної територіальної громади </t>
  </si>
  <si>
    <t xml:space="preserve">Бюджет Карпівської сільської територіальної громади </t>
  </si>
  <si>
    <t xml:space="preserve">Бюджет Широківської селищної територіальної громади </t>
  </si>
  <si>
    <t xml:space="preserve">Бюджет Юр’ївської селищної територіальної громади </t>
  </si>
  <si>
    <t xml:space="preserve">Бюджет Любимівської сільської територіальної громади </t>
  </si>
  <si>
    <t xml:space="preserve">Бюджет Української сільської територіальної громади </t>
  </si>
  <si>
    <t xml:space="preserve">Бюджет Саксаганської сільської територіальної громади </t>
  </si>
  <si>
    <t xml:space="preserve">Бюджет Девладівської сільської територіальної громади </t>
  </si>
  <si>
    <t>Бюджет Личківської сільської територіальної громади</t>
  </si>
  <si>
    <t>Бюджет Перещепинської міської територіальної громади</t>
  </si>
  <si>
    <t>Бюджет Піщанської сільської територіальної громади</t>
  </si>
  <si>
    <t xml:space="preserve">Бюджет Першотравневської сільської територіальної громади </t>
  </si>
  <si>
    <t xml:space="preserve">Бюджет Межиріцької сільської територіальної громади </t>
  </si>
  <si>
    <t xml:space="preserve">Бюджет Новоолександрівської сільської територіальної громади </t>
  </si>
  <si>
    <t>Усього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</si>
  <si>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</si>
  <si>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</si>
  <si>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</si>
  <si>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</si>
  <si>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1</t>
  </si>
  <si>
    <t>0919270</t>
  </si>
  <si>
    <t>0819770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</si>
  <si>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</si>
  <si>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</si>
  <si>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</si>
  <si>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 xml:space="preserve"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</si>
  <si>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Бюджет Миколаївської сільської територіальної громади (Синельниківський район) </t>
  </si>
  <si>
    <t>Бюджет Миколаївської сільської територіальної громади (Дніпровський район)</t>
  </si>
  <si>
    <t>3719150</t>
  </si>
  <si>
    <t xml:space="preserve">Інші дотації з місцевого бюджету </t>
  </si>
  <si>
    <t>Субвенція з державного бюджету місцевим бюджетам на здійснення підтримки окремих закладів та заходів у системі охорони здоров’я</t>
  </si>
  <si>
    <t>(грн)</t>
  </si>
  <si>
    <t>х</t>
  </si>
  <si>
    <t xml:space="preserve"> видатки споживання</t>
  </si>
  <si>
    <t>Субвенція з місцевого бюджету державному бюджету на виконання програм соціально-економічного розвитку регіонів</t>
  </si>
  <si>
    <t>2919800</t>
  </si>
  <si>
    <t>2219800</t>
  </si>
  <si>
    <t>3719800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</si>
  <si>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</si>
  <si>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0410000000</t>
  </si>
  <si>
    <t>Бюджет Верхівцевської міської територіальної громади</t>
  </si>
  <si>
    <t>Інші субвенції з місцевого бюджету,</t>
  </si>
  <si>
    <t>у тому числі: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</si>
  <si>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здоров’я</t>
  </si>
  <si>
    <t>0453600000</t>
  </si>
  <si>
    <t>0119770</t>
  </si>
  <si>
    <t xml:space="preserve"> ІІ. Трансферти із спеціального фонду бюджету</t>
  </si>
  <si>
    <t>УСЬОГО за розділами І, ІІ, 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</si>
  <si>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</si>
  <si>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Бюджет Слов’янської сільської територіальної громади</t>
  </si>
  <si>
    <t xml:space="preserve">Бюджет Кам’янської міської територіальної громади </t>
  </si>
  <si>
    <t>на заходи програми “Регіональна програма забезпечення громадського порядку та громадської безпеки на території Дніпропетровської області на період до 2025 рокуˮ</t>
  </si>
  <si>
    <t>на забезпечення офтальмологічної допомоги населенню міста</t>
  </si>
  <si>
    <t>0457810000</t>
  </si>
  <si>
    <t>1219770</t>
  </si>
  <si>
    <t>видатки розвитку</t>
  </si>
  <si>
    <t>Субвенція з обласного бюджету місцевим бюджетам на забезпечення окремих видатків районних рад, спрямованих на виконання їх повноважень</t>
  </si>
  <si>
    <t>Районний бюджет Дніпровського району</t>
  </si>
  <si>
    <t>Районний бюджет Криворізького району</t>
  </si>
  <si>
    <t>Районний бюджет Нікопольського району</t>
  </si>
  <si>
    <t>Районний бюджет Павлоградського району</t>
  </si>
  <si>
    <t>Районний бюджет Синельниківського району</t>
  </si>
  <si>
    <t>Районний бюджет Кам’янського району</t>
  </si>
  <si>
    <t>0430420000</t>
  </si>
  <si>
    <t>0430520000</t>
  </si>
  <si>
    <t>0430920000</t>
  </si>
  <si>
    <t>0431020000</t>
  </si>
  <si>
    <t>0431120000</t>
  </si>
  <si>
    <t>0431620000</t>
  </si>
  <si>
    <t>0432320000</t>
  </si>
  <si>
    <t>Cубвенція з обласного бюджету до бюджету Криворізької міської територіальної громади для здійснення заходів, в тому числі з енергозбереження, на об’єктах теплопостачання комунальної власності міста Кривий Ріг в умовах збройної агресії Російської Федерації проти України</t>
  </si>
  <si>
    <t xml:space="preserve"> ІІ. Трансферти до спеціального фонду бюджету</t>
  </si>
  <si>
    <t>Субвенція з місцевого бюджету на співфінансування інвестиційних проектів</t>
  </si>
  <si>
    <t>1519750</t>
  </si>
  <si>
    <t xml:space="preserve">до рішення обласної ради </t>
  </si>
  <si>
    <t xml:space="preserve">Заступник голови обласної ради </t>
  </si>
  <si>
    <t>Реверсна дотація</t>
  </si>
  <si>
    <t>Департамент фінансів Дніпропетровської обласної державної адміністрації</t>
  </si>
  <si>
    <t>Служба у справах дітей Дніпропетровської обласної державної адміністрації</t>
  </si>
  <si>
    <t>Обласна рада</t>
  </si>
  <si>
    <t>Департамент соціального захисту населення Дніпропетровської обласної державної адміністрації</t>
  </si>
  <si>
    <t>Департамент капітального будівництва Дніпропетровської обласної державної адміністрації</t>
  </si>
  <si>
    <t>Департамент житлово-комунального господарства та будівництва Дніпропетровської обласної державної адміністрації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</si>
  <si>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</si>
  <si>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Районний бюджет Самарівського району</t>
  </si>
  <si>
    <t>Управління взаємодії з правоохоронними органами та оборонної роботи Дніпропетровської обласної державної адміністрації</t>
  </si>
  <si>
    <t>Департамент цивільного захисту Дніпропетровської обласної державної адміністрації</t>
  </si>
  <si>
    <t xml:space="preserve">  Міжбюджетні трансферти на 2025 рік</t>
  </si>
  <si>
    <t xml:space="preserve">Освітня субвенція з державного бюджету місцевим бюджетам </t>
  </si>
  <si>
    <t>Департамент освіти і науки Дніпропетровської обласної державної адміністрації</t>
  </si>
  <si>
    <t>0619310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</si>
  <si>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</si>
  <si>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</si>
  <si>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>на приватні школи</t>
  </si>
  <si>
    <t xml:space="preserve">Бюджет Вакулівської сільської територіальної громади </t>
  </si>
  <si>
    <t xml:space="preserve">Бюджет Новолатівської сільської територіальної громади </t>
  </si>
  <si>
    <t>Комунальному підприємству “Обласний центр екстреної медичної допомоги та медицини катастроф” Дніпропетровської обласної ради для удосконалення надання екстреної медичної допомоги</t>
  </si>
  <si>
    <t>0450500000</t>
  </si>
  <si>
    <t>0450300000</t>
  </si>
  <si>
    <t>0452000000</t>
  </si>
  <si>
    <t>0456300000</t>
  </si>
  <si>
    <t>0453000000</t>
  </si>
  <si>
    <t>0455600000</t>
  </si>
  <si>
    <t>0454500000</t>
  </si>
  <si>
    <t>Бюджет Зайцівської сільської територіальної громади</t>
  </si>
  <si>
    <t>0450600000</t>
  </si>
  <si>
    <t>0455000000</t>
  </si>
  <si>
    <t>0455700000</t>
  </si>
  <si>
    <t>0457900000</t>
  </si>
  <si>
    <t>0458000000</t>
  </si>
  <si>
    <t xml:space="preserve">Бюджет Новопавлівської сільської територіальної громади </t>
  </si>
  <si>
    <t>0453300000</t>
  </si>
  <si>
    <t>0458300000</t>
  </si>
  <si>
    <t>0451100000</t>
  </si>
  <si>
    <t>0456800000</t>
  </si>
  <si>
    <t>0451300000</t>
  </si>
  <si>
    <t>0454200000</t>
  </si>
  <si>
    <t>0457000000</t>
  </si>
  <si>
    <t>0455100000</t>
  </si>
  <si>
    <t>на виконання заходів регіональної Програми забезпечення громадського порядку та громадської безпеки на території Дніпропетровської області на період до 2025 року</t>
  </si>
  <si>
    <t>0452200000</t>
  </si>
  <si>
    <t xml:space="preserve">Бюджет Лихівської селищної територіальної громади </t>
  </si>
  <si>
    <t>0457400000</t>
  </si>
  <si>
    <t>0457700000</t>
  </si>
  <si>
    <t>0457100000</t>
  </si>
  <si>
    <t>0458200000</t>
  </si>
  <si>
    <t>0458400000</t>
  </si>
  <si>
    <t>0458500000</t>
  </si>
  <si>
    <t>0456200000</t>
  </si>
  <si>
    <t>0458900000</t>
  </si>
  <si>
    <t>0459100000</t>
  </si>
  <si>
    <t>0450100000</t>
  </si>
  <si>
    <t>0450200000</t>
  </si>
  <si>
    <t>0451800000</t>
  </si>
  <si>
    <t>0457200000</t>
  </si>
  <si>
    <t>0451900000</t>
  </si>
  <si>
    <t>0457300000</t>
  </si>
  <si>
    <t>0450700000</t>
  </si>
  <si>
    <t>0457500000</t>
  </si>
  <si>
    <t>0453500000</t>
  </si>
  <si>
    <t>0456400000</t>
  </si>
  <si>
    <t>0454700000</t>
  </si>
  <si>
    <t>0454900000</t>
  </si>
  <si>
    <t xml:space="preserve">Бюджет Китайгородської сільської територіальної громади </t>
  </si>
  <si>
    <t>0452100000</t>
  </si>
  <si>
    <t>0455300000</t>
  </si>
  <si>
    <t>0450800000</t>
  </si>
  <si>
    <t xml:space="preserve">Бюджет Ляшківської сільської територіальної громади </t>
  </si>
  <si>
    <t>0456500000</t>
  </si>
  <si>
    <t>0454100000</t>
  </si>
  <si>
    <t>0454400000</t>
  </si>
  <si>
    <t>0450900000</t>
  </si>
  <si>
    <t>0451000000</t>
  </si>
  <si>
    <t xml:space="preserve">Бюджет Нивотрудівської сільської територіальної громади </t>
  </si>
  <si>
    <t>0453200000</t>
  </si>
  <si>
    <t>0451200000</t>
  </si>
  <si>
    <t>0456600000</t>
  </si>
  <si>
    <t>0455800000</t>
  </si>
  <si>
    <t>0453900000</t>
  </si>
  <si>
    <t>0454300000</t>
  </si>
  <si>
    <t>0458600000</t>
  </si>
  <si>
    <t>0455900000</t>
  </si>
  <si>
    <t>0458800000</t>
  </si>
  <si>
    <t>0452400000</t>
  </si>
  <si>
    <t>0455500000</t>
  </si>
  <si>
    <t>0450400000</t>
  </si>
  <si>
    <t xml:space="preserve">Бюджет Святовасилівської сільської територіальної громади </t>
  </si>
  <si>
    <t>0451500000</t>
  </si>
  <si>
    <t>0459000000</t>
  </si>
  <si>
    <t>0452500000</t>
  </si>
  <si>
    <t>0451400000</t>
  </si>
  <si>
    <t xml:space="preserve">Бюджет Сурсько-Литовської сільської територіальної громади </t>
  </si>
  <si>
    <t>0452600000</t>
  </si>
  <si>
    <t>0455400000</t>
  </si>
  <si>
    <t>0452700000</t>
  </si>
  <si>
    <t>0456700000</t>
  </si>
  <si>
    <t>0456000000</t>
  </si>
  <si>
    <t>Бюджет Чумаківської сільської територіальної громади</t>
  </si>
  <si>
    <t>0455200000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</si>
  <si>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</si>
  <si>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</t>
  </si>
  <si>
    <t>Субвенція з державного бюджету місцевим бюджетам на забезпечення якісної, сучасної та доступної загальної середньої освіти “Нова українська школа”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</si>
  <si>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</si>
  <si>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</si>
  <si>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Управління з питань ветеранської політики Дніпропетровської обласної державної адміністрації</t>
  </si>
  <si>
    <t xml:space="preserve">на співфінансування для створення другої черги системи відеоспостереження на території КЗ “Стародобровільський ПНІ” ДОР” </t>
  </si>
  <si>
    <t>Субвенція з обласного бюджету до місцевих бюджетів на соціально-економічний розвиток окремих територій</t>
  </si>
  <si>
    <t>Департамент охорони здоров’я Дніпропетровської обласної державної адміністрації</t>
  </si>
  <si>
    <t>0719770</t>
  </si>
  <si>
    <t>Субвенція з обласного бюджету до місцевих бюджетів на капітальні видатки та облаштування об’єктів соціально-культурної сфери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</si>
  <si>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</si>
  <si>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</si>
  <si>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0619311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</si>
  <si>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відповідної субвенції з державного бюджету</t>
  </si>
  <si>
    <t>1519770</t>
  </si>
  <si>
    <t>2819800</t>
  </si>
  <si>
    <t>Департамент екології та природних ресурсів Дніпропетровської обласної державної адміністрації</t>
  </si>
  <si>
    <t>природоохоронні заходи</t>
  </si>
  <si>
    <t>0452900000</t>
  </si>
  <si>
    <t>0452300000</t>
  </si>
  <si>
    <t>0454600000</t>
  </si>
  <si>
    <t>0453100000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</si>
  <si>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</si>
  <si>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0919280</t>
  </si>
  <si>
    <t>Субвенція з місцевого бюджету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піклування, за рахунок відповідної субвенції з державного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</si>
  <si>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</si>
  <si>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Субвенція з державного бюджету місцевим бюджетам на реалізацію проектів в рамках Програми з відновлення України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</si>
  <si>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</si>
  <si>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0458700000</t>
  </si>
  <si>
    <t>Субвенція з місцевого бюджету на виконання окремих заходів з реалізації соціального проекту “Активні парки - локації здорової України” за рахунок відповідної субвенції з державного бюджету</t>
  </si>
  <si>
    <t>Управління молоді і спорту Дніпропетровської обласної державної адміністрації</t>
  </si>
  <si>
    <t xml:space="preserve">Бюджет Славгородської селищної територіальної громади </t>
  </si>
  <si>
    <t>0454800000</t>
  </si>
  <si>
    <t>0819150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</si>
  <si>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</si>
  <si>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0819246</t>
  </si>
  <si>
    <t>на оплату послуг з ремонту і технічного обслуговування санітарного автомобільного транспорту Криворізької станції екстреної медичної допомоги</t>
  </si>
  <si>
    <t>для поточного ремонту гуртожитку №1 Васильківського професійно-технічного училища</t>
  </si>
  <si>
    <t>видатки споживання</t>
  </si>
  <si>
    <t>Департамент цифрової трансформації, інформаційних технологій та електронного урядування Дніпропетровської обласної державної адміністрації</t>
  </si>
  <si>
    <t>Субвенція з обласного бюджету місцевим бюджетам для придбання мобільних автоматизованих робочих місць адміністратора Центру надання адміністративних послуг</t>
  </si>
  <si>
    <t>на заходи програми “Програма розвитку й підтримки сфери надання адміністративних послуг у Дніпропетровській області на 2024 – 2026 роки”</t>
  </si>
  <si>
    <t>0454000000</t>
  </si>
  <si>
    <t>Субвенція з обласного бюджету Дніпропетровської області до обласного бюджету Закарпатської області для організації надання соціальних послуг стаціонарного догляду для дітей з інвалідністю</t>
  </si>
  <si>
    <t>Обласний бюджет Закарпатської області</t>
  </si>
  <si>
    <t>субвенція з місцевого бюджету обласному бюджету для реалізації заходів Програми надання фінансової підтримки Професійно-технічному училищу №88 на 2025 рік</t>
  </si>
  <si>
    <t>Субвенція з обласного бюджету Дніпропетровської області для організації надання соціальних послуг стаціонарного догляду для громадян похилого віку та осіб з інвалідністю</t>
  </si>
  <si>
    <t>0210000000</t>
  </si>
  <si>
    <t>Обласний бюджет Вінницької області</t>
  </si>
  <si>
    <t>0610000000</t>
  </si>
  <si>
    <t>Обласний бюджет Житомирської області</t>
  </si>
  <si>
    <t>1710000000</t>
  </si>
  <si>
    <t>Обласний бюджет Рівненської області</t>
  </si>
  <si>
    <t>2310000000</t>
  </si>
  <si>
    <t>Обласний бюджет Черкаської області</t>
  </si>
  <si>
    <t>оплата праці фахівців із супроводу ветеранів війни та демобілізованих осіб, а також фінансової підтримки комунальних некомерційних підприємств, на яких вони працевлаштовані</t>
  </si>
  <si>
    <t>виплати грошової компенсації за найм (оренду) житлових приміщень</t>
  </si>
  <si>
    <t>Код Класифікації доходу бюджету/
Код бюджету</t>
  </si>
  <si>
    <t xml:space="preserve">Найменування трансферту/
Найменування бюджету – надавача міжбюджетного трансферту
                                                                                 </t>
  </si>
  <si>
    <t>Код Програмної класифікації видатків та кредитування місцевого бюджету/ Код бюджету</t>
  </si>
  <si>
    <t xml:space="preserve">Найменування трансферту/
Найменування бюджету – отримувача міжбюджетного трансферту
</t>
  </si>
  <si>
    <t>субвенція з місцевого бюджету обласному бюджету комунальному закладу “Могилівський геріатричний пансіонат” Дніпропетровської обласної ради на співфінансування утримання закладу (закупівля кахлю)</t>
  </si>
  <si>
    <t>на співфінансування на придбання шкільних автобусів</t>
  </si>
  <si>
    <t>0457600000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</si>
  <si>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</si>
  <si>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0453700000</t>
  </si>
  <si>
    <t>на заходи програми “Програма розвитку місцевого самоврядування у Дніпропетровській області на 2012 – 2026 рокиˮ</t>
  </si>
  <si>
    <t xml:space="preserve">на співфінансування видатків КЗ “Стародобровільський ПНІ” ДОР” </t>
  </si>
  <si>
    <t>Субвенція з державного бюджету місцевим бюджетам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</t>
  </si>
  <si>
    <t>0819535</t>
  </si>
  <si>
    <t xml:space="preserve">Субвенція з місцевого бюджету на будівництво нового житла, реконструкцію існуючих житлових будинків та гуртожитків, а також переобладнання нежитлових приміщень у житлові для формування фондів житла тимчасового проживання за рахунок відповідної субвенції з державного бюджету </t>
  </si>
  <si>
    <t>Субвенція з державного бюджету місцевим бюджетам на забезпечення харчуванням учнів закладів загальної середньої освіти</t>
  </si>
  <si>
    <t>2819740</t>
  </si>
  <si>
    <t>Субвенція з місцевого бюджету на здійснення природоохоронних заходів</t>
  </si>
  <si>
    <t>0619150</t>
  </si>
  <si>
    <t>на підтримку закладів професійно-технічної освіти</t>
  </si>
  <si>
    <t>Бюджет міста Києва</t>
  </si>
  <si>
    <r>
      <t xml:space="preserve">на заходи програми “Програма розвитку місцевого самоврядування у Дніпропетровській області 
на 2012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2026 рокиˮ</t>
    </r>
  </si>
  <si>
    <r>
      <t xml:space="preserve">на заходи програми “Програма територіальної оборони Дніпропетровської області та забезпечення заходів мобілізації на 2022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2025 рокиˮ</t>
    </r>
  </si>
  <si>
    <r>
      <t xml:space="preserve">на заходи програми “Регіональна цільова програма захисту населення і територій від надзвичайних ситуацій техногенного та природного характеру, забезпечення пожежної безпеки Дніпропетровської області на 2021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2025 рокиˮ</t>
    </r>
  </si>
  <si>
    <r>
      <t xml:space="preserve">на заходи програми “Програма впровадження державної політики органами виконавчої влади у Дніпропетровській області 
на 2016 </t>
    </r>
    <r>
      <rPr>
        <b/>
        <sz val="14"/>
        <rFont val="Calibri"/>
        <family val="2"/>
        <charset val="204"/>
      </rPr>
      <t>—</t>
    </r>
    <r>
      <rPr>
        <b/>
        <sz val="14"/>
        <rFont val="Times New Roman"/>
        <family val="1"/>
        <charset val="204"/>
      </rPr>
      <t xml:space="preserve"> 2025 рокиˮ</t>
    </r>
  </si>
  <si>
    <r>
      <t>субвенція з селищного бюджету до обласного бюджету на виконання заходів Програми “Розвиток профтехосвіти на території Царичанської селищної ради на 2024</t>
    </r>
    <r>
      <rPr>
        <b/>
        <sz val="18"/>
        <rFont val="Calibri"/>
        <family val="2"/>
        <charset val="204"/>
      </rPr>
      <t>—</t>
    </r>
    <r>
      <rPr>
        <b/>
        <sz val="18"/>
        <rFont val="Times New Roman"/>
        <family val="1"/>
        <charset val="204"/>
      </rPr>
      <t xml:space="preserve">2027 роки” </t>
    </r>
  </si>
  <si>
    <r>
      <t xml:space="preserve"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 </t>
    </r>
    <r>
      <rPr>
        <b/>
        <sz val="18"/>
        <rFont val="Calibri"/>
        <family val="2"/>
        <charset val="204"/>
      </rPr>
      <t>—</t>
    </r>
    <r>
      <rPr>
        <b/>
        <sz val="18"/>
        <rFont val="Times New Roman"/>
        <family val="1"/>
        <charset val="204"/>
      </rPr>
      <t xml:space="preserve"> 2027 роки  </t>
    </r>
  </si>
  <si>
    <r>
      <t xml:space="preserve">Субвенція з державного бюджету місцевим бюджетам на реалізацію публічного інвестиційного проекту на безперешкодний доступ до якісної освіти </t>
    </r>
    <r>
      <rPr>
        <b/>
        <sz val="18"/>
        <rFont val="Calibri"/>
        <family val="2"/>
        <charset val="204"/>
      </rPr>
      <t>—</t>
    </r>
    <r>
      <rPr>
        <b/>
        <sz val="18"/>
        <rFont val="Times New Roman"/>
        <family val="1"/>
        <charset val="204"/>
      </rPr>
      <t xml:space="preserve"> шкільні автобуси</t>
    </r>
  </si>
  <si>
    <r>
      <t>на виконання заходів Програми територіальної оборони Дніпропетровської області та забезпечення заходів мобілізації на 2022</t>
    </r>
    <r>
      <rPr>
        <b/>
        <sz val="18"/>
        <rFont val="Calibri"/>
        <family val="2"/>
        <charset val="204"/>
      </rPr>
      <t>—</t>
    </r>
    <r>
      <rPr>
        <b/>
        <sz val="18"/>
        <rFont val="Times New Roman"/>
        <family val="1"/>
        <charset val="204"/>
      </rPr>
      <t>2025 роки</t>
    </r>
  </si>
  <si>
    <r>
      <t xml:space="preserve">на співфінансування на реалізацію публічного інвестиційного проекту на безперешкодний доступ до якісної освіти </t>
    </r>
    <r>
      <rPr>
        <b/>
        <sz val="18"/>
        <rFont val="Calibri"/>
        <family val="2"/>
        <charset val="204"/>
      </rPr>
      <t>—</t>
    </r>
    <r>
      <rPr>
        <b/>
        <sz val="18"/>
        <rFont val="Times New Roman"/>
        <family val="1"/>
        <charset val="204"/>
      </rPr>
      <t xml:space="preserve"> шкільні автобуси</t>
    </r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</si>
  <si>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агресією Російської Федерації</t>
  </si>
  <si>
    <t>Субвенція з місцевого бюджету на реалізацію публічного інвестиційного проекту з виплати грошової компенсації за належні для отримання жилі приміщення для сімей осіб, визначених пунктами 2 – 5 частини першої статті 10-1 Закону України “Про статус ветеранів війни, гарантії їх соціального захисту”, для осіб з інвалідністю I – 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“Про статус ветеранів війни, гарантії їх соціального захисту”, та які потребують поліпшення житлових умов, за рахунок відповідної субвенції з державного бюджету</t>
  </si>
  <si>
    <r>
      <t xml:space="preserve"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</t>
    </r>
    <r>
      <rPr>
        <b/>
        <sz val="18"/>
        <rFont val="Calibri"/>
        <family val="2"/>
        <charset val="204"/>
      </rPr>
      <t>—</t>
    </r>
    <r>
      <rPr>
        <b/>
        <sz val="18"/>
        <rFont val="Times New Roman"/>
        <family val="1"/>
        <charset val="204"/>
      </rPr>
      <t xml:space="preserve"> 5 частини першої статті 10-1 Закону України “Про статус ветеранів війни, гарантії їх соціального захисту”, для осіб з інвалідністю I </t>
    </r>
    <r>
      <rPr>
        <b/>
        <sz val="18"/>
        <rFont val="Calibri"/>
        <family val="2"/>
        <charset val="204"/>
      </rPr>
      <t>—</t>
    </r>
    <r>
      <rPr>
        <b/>
        <sz val="18"/>
        <rFont val="Times New Roman"/>
        <family val="1"/>
        <charset val="204"/>
      </rPr>
      <t xml:space="preserve">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</t>
    </r>
    <r>
      <rPr>
        <b/>
        <sz val="18"/>
        <rFont val="Calibri"/>
        <family val="2"/>
        <charset val="204"/>
      </rPr>
      <t>—</t>
    </r>
    <r>
      <rPr>
        <b/>
        <sz val="18"/>
        <rFont val="Times New Roman"/>
        <family val="1"/>
        <charset val="204"/>
      </rPr>
      <t xml:space="preserve"> 14 частини другої статті 7 Закону України “Про статус ветеранів війни, гарантії їх соціального захисту”, та які потребують поліпшення житлових умов</t>
    </r>
  </si>
  <si>
    <r>
      <t xml:space="preserve">Субвенція з державного бюджету місцевим бюджетам на виконання окремих заходів з реалізації соціального проекту “Активні парки </t>
    </r>
    <r>
      <rPr>
        <b/>
        <sz val="18"/>
        <rFont val="Calibri"/>
        <family val="2"/>
        <charset val="204"/>
      </rPr>
      <t>—</t>
    </r>
    <r>
      <rPr>
        <b/>
        <sz val="18"/>
        <rFont val="Times New Roman"/>
        <family val="1"/>
        <charset val="204"/>
      </rPr>
      <t xml:space="preserve"> локації здорової України”</t>
    </r>
  </si>
  <si>
    <t>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</si>
</sst>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"/>
  </numFmts>
  <fonts count="15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u/>
      <sz val="18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4"/>
      <name val="Calibri"/>
      <family val="2"/>
      <charset val="204"/>
    </font>
    <font>
      <b/>
      <sz val="1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2" fillId="0" borderId="0"/>
  </cellStyleXfs>
  <cellXfs count="135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Alignment="1">
      <alignment horizontal="center"/>
    </xf>
    <xf numFmtId="0" fontId="4" fillId="0" borderId="0" xfId="0" applyFont="1" applyFill="1" applyBorder="1"/>
    <xf numFmtId="4" fontId="2" fillId="0" borderId="0" xfId="0" applyNumberFormat="1" applyFont="1" applyFill="1"/>
    <xf numFmtId="0" fontId="4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8" fillId="0" borderId="0" xfId="0" applyFont="1" applyFill="1"/>
    <xf numFmtId="4" fontId="2" fillId="0" borderId="0" xfId="0" applyNumberFormat="1" applyFont="1" applyFill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 applyAlignment="1">
      <alignment horizontal="left"/>
    </xf>
    <xf numFmtId="0" fontId="9" fillId="0" borderId="0" xfId="0" applyFont="1" applyFill="1"/>
    <xf numFmtId="0" fontId="9" fillId="0" borderId="0" xfId="0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/>
    <xf numFmtId="3" fontId="6" fillId="0" borderId="0" xfId="0" applyNumberFormat="1" applyFont="1" applyFill="1" applyBorder="1"/>
    <xf numFmtId="49" fontId="9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/>
    <xf numFmtId="4" fontId="4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/>
    <xf numFmtId="49" fontId="2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4" fillId="0" borderId="4" xfId="0" applyNumberFormat="1" applyFont="1" applyFill="1" applyBorder="1" applyAlignment="1"/>
    <xf numFmtId="1" fontId="2" fillId="0" borderId="1" xfId="0" applyNumberFormat="1" applyFont="1" applyFill="1" applyBorder="1" applyAlignment="1">
      <alignment horizontal="left"/>
    </xf>
    <xf numFmtId="0" fontId="9" fillId="0" borderId="4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4" fontId="9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right"/>
    </xf>
    <xf numFmtId="4" fontId="4" fillId="0" borderId="2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9" fillId="0" borderId="5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 applyAlignment="1">
      <alignment horizontal="right" wrapText="1"/>
    </xf>
    <xf numFmtId="4" fontId="4" fillId="0" borderId="5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right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49" fontId="4" fillId="0" borderId="14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12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49" fontId="4" fillId="0" borderId="14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right" vertical="center" wrapText="1"/>
    </xf>
    <xf numFmtId="4" fontId="4" fillId="0" borderId="14" xfId="0" applyNumberFormat="1" applyFont="1" applyFill="1" applyBorder="1" applyAlignment="1">
      <alignment horizontal="right" vertical="center" wrapText="1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wrapText="1"/>
    </xf>
  </cellXfs>
  <cellStyles count="5">
    <cellStyle name="Normal" xfId="4"/>
    <cellStyle name="Обычный" xfId="0" builtinId="0"/>
    <cellStyle name="Обычный 2" xfId="1"/>
    <cellStyle name="Обычный 4" xfId="2"/>
    <cellStyle name="Обычный 5" xfId="3"/>
  </cellStyles>
  <dxfs count="0"/>
  <tableStyles count="0" defaultTableStyle="TableStyleMedium2" defaultPivotStyle="PivotStyleLight16"/>
  <colors>
    <mruColors>
      <color rgb="FF8EBDCC"/>
      <color rgb="FF00FFFF"/>
      <color rgb="FFFFFF99"/>
      <color rgb="FF993366"/>
      <color rgb="FF72CED0"/>
      <color rgb="FFD75F62"/>
      <color rgb="FF990033"/>
      <color rgb="FFE5FB9D"/>
      <color rgb="FFF5F8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4"/>
  <sheetViews>
    <sheetView showZeros="0" view="pageBreakPreview" zoomScale="50" zoomScaleNormal="25" zoomScaleSheetLayoutView="50" workbookViewId="0">
      <pane xSplit="3" ySplit="13" topLeftCell="D386" activePane="bottomRight" state="frozen"/>
      <selection pane="topRight" activeCell="D1" sqref="D1"/>
      <selection pane="bottomLeft" activeCell="A13" sqref="A13"/>
      <selection pane="bottomRight" activeCell="S23" sqref="S23"/>
    </sheetView>
  </sheetViews>
  <sheetFormatPr defaultColWidth="9.140625" defaultRowHeight="18.75" x14ac:dyDescent="0.3"/>
  <cols>
    <col min="1" max="1" width="22.42578125" style="1" customWidth="1"/>
    <col min="2" max="2" width="132" style="1" customWidth="1"/>
    <col min="3" max="3" width="22.5703125" style="1" customWidth="1"/>
    <col min="4" max="4" width="27.7109375" style="1" customWidth="1"/>
    <col min="5" max="16384" width="9.140625" style="1"/>
  </cols>
  <sheetData>
    <row r="1" spans="1:4" ht="26.25" customHeight="1" x14ac:dyDescent="0.35">
      <c r="C1" s="60" t="s">
        <v>5</v>
      </c>
      <c r="D1" s="60"/>
    </row>
    <row r="2" spans="1:4" ht="27.75" customHeight="1" x14ac:dyDescent="0.35">
      <c r="C2" s="60" t="s">
        <v>135</v>
      </c>
      <c r="D2" s="60"/>
    </row>
    <row r="3" spans="1:4" ht="23.25" x14ac:dyDescent="0.35">
      <c r="C3" s="60"/>
      <c r="D3" s="60"/>
    </row>
    <row r="4" spans="1:4" ht="56.25" customHeight="1" x14ac:dyDescent="0.35">
      <c r="C4" s="38"/>
      <c r="D4" s="38"/>
    </row>
    <row r="5" spans="1:4" ht="27.75" customHeight="1" x14ac:dyDescent="0.3">
      <c r="A5" s="61" t="s">
        <v>148</v>
      </c>
      <c r="B5" s="61"/>
      <c r="C5" s="61"/>
      <c r="D5" s="61"/>
    </row>
    <row r="6" spans="1:4" ht="33" customHeight="1" x14ac:dyDescent="0.35">
      <c r="A6" s="13"/>
      <c r="B6" s="67" t="s">
        <v>100</v>
      </c>
      <c r="C6" s="67"/>
      <c r="D6" s="13"/>
    </row>
    <row r="7" spans="1:4" ht="23.25" x14ac:dyDescent="0.35">
      <c r="A7" s="13"/>
      <c r="B7" s="68" t="s">
        <v>3</v>
      </c>
      <c r="C7" s="68"/>
      <c r="D7" s="13"/>
    </row>
    <row r="8" spans="1:4" ht="29.25" customHeight="1" x14ac:dyDescent="0.3">
      <c r="A8" s="62" t="s">
        <v>84</v>
      </c>
      <c r="B8" s="62"/>
      <c r="C8" s="62"/>
      <c r="D8" s="62"/>
    </row>
    <row r="9" spans="1:4" ht="23.25" x14ac:dyDescent="0.3">
      <c r="A9" s="39"/>
      <c r="B9" s="39"/>
      <c r="C9" s="39"/>
      <c r="D9" s="14" t="s">
        <v>92</v>
      </c>
    </row>
    <row r="10" spans="1:4" s="2" customFormat="1" x14ac:dyDescent="0.3">
      <c r="A10" s="63" t="s">
        <v>298</v>
      </c>
      <c r="B10" s="63" t="s">
        <v>299</v>
      </c>
      <c r="C10" s="63"/>
      <c r="D10" s="63" t="s">
        <v>75</v>
      </c>
    </row>
    <row r="11" spans="1:4" s="2" customFormat="1" x14ac:dyDescent="0.3">
      <c r="A11" s="63"/>
      <c r="B11" s="63"/>
      <c r="C11" s="63"/>
      <c r="D11" s="63"/>
    </row>
    <row r="12" spans="1:4" s="2" customFormat="1" ht="78.75" customHeight="1" x14ac:dyDescent="0.3">
      <c r="A12" s="63"/>
      <c r="B12" s="63"/>
      <c r="C12" s="63"/>
      <c r="D12" s="63"/>
    </row>
    <row r="13" spans="1:4" s="3" customFormat="1" ht="30.75" customHeight="1" x14ac:dyDescent="0.3">
      <c r="A13" s="40">
        <v>1</v>
      </c>
      <c r="B13" s="63">
        <v>2</v>
      </c>
      <c r="C13" s="63"/>
      <c r="D13" s="40">
        <v>3</v>
      </c>
    </row>
    <row r="14" spans="1:4" s="3" customFormat="1" ht="39.950000000000003" customHeight="1" x14ac:dyDescent="0.3">
      <c r="A14" s="64" t="s">
        <v>85</v>
      </c>
      <c r="B14" s="65"/>
      <c r="C14" s="65"/>
      <c r="D14" s="66"/>
    </row>
    <row r="15" spans="1:4" s="3" customFormat="1" ht="60.75" customHeight="1" x14ac:dyDescent="0.3">
      <c r="A15" s="37">
        <v>41020200</v>
      </c>
      <c r="B15" s="54" t="s">
        <v>104</v>
      </c>
      <c r="C15" s="54"/>
      <c r="D15" s="22">
        <f>D16</f>
        <v>184861300</v>
      </c>
    </row>
    <row r="16" spans="1:4" s="3" customFormat="1" ht="31.5" customHeight="1" x14ac:dyDescent="0.3">
      <c r="A16" s="35">
        <v>9900000000</v>
      </c>
      <c r="B16" s="50" t="s">
        <v>1</v>
      </c>
      <c r="C16" s="51"/>
      <c r="D16" s="23">
        <f>184861300</f>
        <v>184861300</v>
      </c>
    </row>
    <row r="17" spans="1:4" s="3" customFormat="1" ht="99" customHeight="1" x14ac:dyDescent="0.3">
      <c r="A17" s="37">
        <v>41021300</v>
      </c>
      <c r="B17" s="54" t="s">
        <v>251</v>
      </c>
      <c r="C17" s="54"/>
      <c r="D17" s="22">
        <f>D18</f>
        <v>10312752</v>
      </c>
    </row>
    <row r="18" spans="1:4" s="3" customFormat="1" ht="31.5" customHeight="1" x14ac:dyDescent="0.3">
      <c r="A18" s="35">
        <v>9900000000</v>
      </c>
      <c r="B18" s="50" t="s">
        <v>1</v>
      </c>
      <c r="C18" s="51"/>
      <c r="D18" s="23">
        <f>1672583+3616909+5023260</f>
        <v>10312752</v>
      </c>
    </row>
    <row r="19" spans="1:4" s="3" customFormat="1" ht="99" customHeight="1" x14ac:dyDescent="0.3">
      <c r="A19" s="37">
        <v>41021400</v>
      </c>
      <c r="B19" s="55" t="s">
        <v>327</v>
      </c>
      <c r="C19" s="56"/>
      <c r="D19" s="22">
        <f>D20</f>
        <v>40000000</v>
      </c>
    </row>
    <row r="20" spans="1:4" s="3" customFormat="1" ht="31.5" customHeight="1" x14ac:dyDescent="0.3">
      <c r="A20" s="35">
        <v>9900000000</v>
      </c>
      <c r="B20" s="50" t="s">
        <v>1</v>
      </c>
      <c r="C20" s="51"/>
      <c r="D20" s="23">
        <f>40000000</f>
        <v>40000000</v>
      </c>
    </row>
    <row r="21" spans="1:4" s="3" customFormat="1" ht="284.25" customHeight="1" x14ac:dyDescent="0.3">
      <c r="A21" s="37">
        <v>41030800</v>
      </c>
      <c r="B21" s="54" t="s">
        <v>329</v>
      </c>
      <c r="C21" s="54"/>
      <c r="D21" s="22">
        <f>D22</f>
        <v>214897748</v>
      </c>
    </row>
    <row r="22" spans="1:4" s="3" customFormat="1" ht="33" customHeight="1" x14ac:dyDescent="0.3">
      <c r="A22" s="35">
        <v>9900000000</v>
      </c>
      <c r="B22" s="50" t="s">
        <v>1</v>
      </c>
      <c r="C22" s="51"/>
      <c r="D22" s="23">
        <f>150430278+64467470</f>
        <v>214897748</v>
      </c>
    </row>
    <row r="23" spans="1:4" s="3" customFormat="1" ht="78.75" customHeight="1" x14ac:dyDescent="0.3">
      <c r="A23" s="37">
        <v>41030900</v>
      </c>
      <c r="B23" s="55" t="s">
        <v>263</v>
      </c>
      <c r="C23" s="56"/>
      <c r="D23" s="22">
        <f>D24</f>
        <v>139700180</v>
      </c>
    </row>
    <row r="24" spans="1:4" s="3" customFormat="1" ht="33" customHeight="1" x14ac:dyDescent="0.3">
      <c r="A24" s="35">
        <v>9900000000</v>
      </c>
      <c r="B24" s="50" t="s">
        <v>1</v>
      </c>
      <c r="C24" s="51"/>
      <c r="D24" s="23">
        <f>139700180</f>
        <v>139700180</v>
      </c>
    </row>
    <row r="25" spans="1:4" s="3" customFormat="1" ht="63.75" customHeight="1" x14ac:dyDescent="0.3">
      <c r="A25" s="37">
        <v>41031100</v>
      </c>
      <c r="B25" s="55" t="s">
        <v>312</v>
      </c>
      <c r="C25" s="56"/>
      <c r="D25" s="22">
        <f>D26</f>
        <v>10030400</v>
      </c>
    </row>
    <row r="26" spans="1:4" s="3" customFormat="1" ht="33" customHeight="1" x14ac:dyDescent="0.3">
      <c r="A26" s="35">
        <v>9900000000</v>
      </c>
      <c r="B26" s="50" t="s">
        <v>1</v>
      </c>
      <c r="C26" s="51"/>
      <c r="D26" s="23">
        <f>10030400</f>
        <v>10030400</v>
      </c>
    </row>
    <row r="27" spans="1:4" s="3" customFormat="1" ht="78.75" customHeight="1" x14ac:dyDescent="0.3">
      <c r="A27" s="37">
        <v>41031900</v>
      </c>
      <c r="B27" s="55" t="s">
        <v>324</v>
      </c>
      <c r="C27" s="56"/>
      <c r="D27" s="22">
        <f>D28</f>
        <v>101732000</v>
      </c>
    </row>
    <row r="28" spans="1:4" s="3" customFormat="1" ht="33" customHeight="1" x14ac:dyDescent="0.3">
      <c r="A28" s="35">
        <v>9900000000</v>
      </c>
      <c r="B28" s="50" t="s">
        <v>1</v>
      </c>
      <c r="C28" s="51"/>
      <c r="D28" s="23">
        <f>101732000</f>
        <v>101732000</v>
      </c>
    </row>
    <row r="29" spans="1:4" s="3" customFormat="1" ht="79.5" customHeight="1" x14ac:dyDescent="0.3">
      <c r="A29" s="37">
        <v>41032300</v>
      </c>
      <c r="B29" s="54" t="s">
        <v>309</v>
      </c>
      <c r="C29" s="54"/>
      <c r="D29" s="22">
        <f>D30</f>
        <v>192117000</v>
      </c>
    </row>
    <row r="30" spans="1:4" s="3" customFormat="1" ht="33" customHeight="1" x14ac:dyDescent="0.3">
      <c r="A30" s="35">
        <v>9900000000</v>
      </c>
      <c r="B30" s="50" t="s">
        <v>1</v>
      </c>
      <c r="C30" s="51"/>
      <c r="D30" s="23">
        <f>192117000</f>
        <v>192117000</v>
      </c>
    </row>
    <row r="31" spans="1:4" s="3" customFormat="1" ht="66" customHeight="1" x14ac:dyDescent="0.3">
      <c r="A31" s="37">
        <v>41032900</v>
      </c>
      <c r="B31" s="54" t="s">
        <v>330</v>
      </c>
      <c r="C31" s="54"/>
      <c r="D31" s="22">
        <f>D32</f>
        <v>1502064</v>
      </c>
    </row>
    <row r="32" spans="1:4" s="3" customFormat="1" ht="33" customHeight="1" x14ac:dyDescent="0.3">
      <c r="A32" s="35">
        <v>9900000000</v>
      </c>
      <c r="B32" s="50" t="s">
        <v>1</v>
      </c>
      <c r="C32" s="51"/>
      <c r="D32" s="23">
        <v>1502064</v>
      </c>
    </row>
    <row r="33" spans="1:4" s="3" customFormat="1" ht="66" customHeight="1" x14ac:dyDescent="0.3">
      <c r="A33" s="37">
        <v>41033000</v>
      </c>
      <c r="B33" s="54" t="s">
        <v>91</v>
      </c>
      <c r="C33" s="54"/>
      <c r="D33" s="22">
        <f>D34</f>
        <v>105989200</v>
      </c>
    </row>
    <row r="34" spans="1:4" s="3" customFormat="1" ht="33" customHeight="1" x14ac:dyDescent="0.3">
      <c r="A34" s="35">
        <v>9900000000</v>
      </c>
      <c r="B34" s="50" t="s">
        <v>1</v>
      </c>
      <c r="C34" s="51"/>
      <c r="D34" s="23">
        <f>93291500+12697700</f>
        <v>105989200</v>
      </c>
    </row>
    <row r="35" spans="1:4" s="3" customFormat="1" ht="103.5" customHeight="1" x14ac:dyDescent="0.3">
      <c r="A35" s="37">
        <v>41033600</v>
      </c>
      <c r="B35" s="54" t="s">
        <v>252</v>
      </c>
      <c r="C35" s="54"/>
      <c r="D35" s="22">
        <f>D36</f>
        <v>6750000</v>
      </c>
    </row>
    <row r="36" spans="1:4" s="3" customFormat="1" ht="33" customHeight="1" x14ac:dyDescent="0.3">
      <c r="A36" s="35">
        <v>9900000000</v>
      </c>
      <c r="B36" s="50" t="s">
        <v>1</v>
      </c>
      <c r="C36" s="51"/>
      <c r="D36" s="23">
        <f>1638000+5112000</f>
        <v>6750000</v>
      </c>
    </row>
    <row r="37" spans="1:4" s="3" customFormat="1" ht="75" customHeight="1" x14ac:dyDescent="0.3">
      <c r="A37" s="37">
        <v>41033800</v>
      </c>
      <c r="B37" s="54" t="s">
        <v>275</v>
      </c>
      <c r="C37" s="54"/>
      <c r="D37" s="22">
        <f>D38</f>
        <v>48910070</v>
      </c>
    </row>
    <row r="38" spans="1:4" s="3" customFormat="1" ht="33" customHeight="1" x14ac:dyDescent="0.3">
      <c r="A38" s="35">
        <v>9900000000</v>
      </c>
      <c r="B38" s="50" t="s">
        <v>1</v>
      </c>
      <c r="C38" s="51"/>
      <c r="D38" s="23">
        <f>48910070</f>
        <v>48910070</v>
      </c>
    </row>
    <row r="39" spans="1:4" s="3" customFormat="1" ht="40.5" customHeight="1" x14ac:dyDescent="0.3">
      <c r="A39" s="37">
        <v>41033900</v>
      </c>
      <c r="B39" s="54" t="s">
        <v>149</v>
      </c>
      <c r="C39" s="54"/>
      <c r="D39" s="22">
        <f>D40</f>
        <v>866099800</v>
      </c>
    </row>
    <row r="40" spans="1:4" s="3" customFormat="1" ht="33" customHeight="1" x14ac:dyDescent="0.3">
      <c r="A40" s="35">
        <v>9900000000</v>
      </c>
      <c r="B40" s="50" t="s">
        <v>1</v>
      </c>
      <c r="C40" s="51"/>
      <c r="D40" s="23">
        <f>575140200+290959600</f>
        <v>866099800</v>
      </c>
    </row>
    <row r="41" spans="1:4" s="3" customFormat="1" ht="102.75" customHeight="1" x14ac:dyDescent="0.3">
      <c r="A41" s="37">
        <v>41034400</v>
      </c>
      <c r="B41" s="55" t="s">
        <v>99</v>
      </c>
      <c r="C41" s="56"/>
      <c r="D41" s="22">
        <f>D42</f>
        <v>8676840</v>
      </c>
    </row>
    <row r="42" spans="1:4" s="3" customFormat="1" ht="33" customHeight="1" x14ac:dyDescent="0.3">
      <c r="A42" s="35">
        <v>9900000000</v>
      </c>
      <c r="B42" s="50" t="s">
        <v>1</v>
      </c>
      <c r="C42" s="51"/>
      <c r="D42" s="23">
        <f>10224200-920820-626540</f>
        <v>8676840</v>
      </c>
    </row>
    <row r="43" spans="1:4" s="3" customFormat="1" ht="87.75" customHeight="1" x14ac:dyDescent="0.3">
      <c r="A43" s="37">
        <v>41035800</v>
      </c>
      <c r="B43" s="55" t="s">
        <v>243</v>
      </c>
      <c r="C43" s="56"/>
      <c r="D43" s="22">
        <f>D44</f>
        <v>38975511</v>
      </c>
    </row>
    <row r="44" spans="1:4" s="3" customFormat="1" ht="33" customHeight="1" x14ac:dyDescent="0.3">
      <c r="A44" s="35">
        <v>9900000000</v>
      </c>
      <c r="B44" s="50" t="s">
        <v>1</v>
      </c>
      <c r="C44" s="51"/>
      <c r="D44" s="23">
        <f>13532000+36336+25355600+51575</f>
        <v>38975511</v>
      </c>
    </row>
    <row r="45" spans="1:4" s="3" customFormat="1" ht="87.75" customHeight="1" x14ac:dyDescent="0.3">
      <c r="A45" s="37">
        <v>41036000</v>
      </c>
      <c r="B45" s="55" t="s">
        <v>241</v>
      </c>
      <c r="C45" s="56"/>
      <c r="D45" s="22">
        <f>D46</f>
        <v>13381300</v>
      </c>
    </row>
    <row r="46" spans="1:4" s="3" customFormat="1" ht="33" customHeight="1" x14ac:dyDescent="0.3">
      <c r="A46" s="35">
        <v>9900000000</v>
      </c>
      <c r="B46" s="50" t="s">
        <v>1</v>
      </c>
      <c r="C46" s="51"/>
      <c r="D46" s="23">
        <f>13381300</f>
        <v>13381300</v>
      </c>
    </row>
    <row r="47" spans="1:4" s="3" customFormat="1" ht="62.25" customHeight="1" x14ac:dyDescent="0.3">
      <c r="A47" s="37">
        <v>41036300</v>
      </c>
      <c r="B47" s="55" t="s">
        <v>240</v>
      </c>
      <c r="C47" s="56"/>
      <c r="D47" s="22">
        <f>D48</f>
        <v>47491000</v>
      </c>
    </row>
    <row r="48" spans="1:4" s="3" customFormat="1" ht="33" customHeight="1" x14ac:dyDescent="0.3">
      <c r="A48" s="35">
        <v>9900000000</v>
      </c>
      <c r="B48" s="50" t="s">
        <v>1</v>
      </c>
      <c r="C48" s="51"/>
      <c r="D48" s="23">
        <f>20235000+27256000</f>
        <v>47491000</v>
      </c>
    </row>
    <row r="49" spans="1:5" s="3" customFormat="1" ht="57.75" customHeight="1" x14ac:dyDescent="0.3">
      <c r="A49" s="37">
        <v>41037200</v>
      </c>
      <c r="B49" s="55" t="s">
        <v>242</v>
      </c>
      <c r="C49" s="56"/>
      <c r="D49" s="22">
        <f>D50</f>
        <v>10213700</v>
      </c>
    </row>
    <row r="50" spans="1:5" s="3" customFormat="1" ht="33" customHeight="1" x14ac:dyDescent="0.3">
      <c r="A50" s="35">
        <v>9900000000</v>
      </c>
      <c r="B50" s="50" t="s">
        <v>1</v>
      </c>
      <c r="C50" s="51"/>
      <c r="D50" s="23">
        <f>10213700</f>
        <v>10213700</v>
      </c>
    </row>
    <row r="51" spans="1:5" s="3" customFormat="1" ht="77.25" customHeight="1" x14ac:dyDescent="0.3">
      <c r="A51" s="37">
        <v>41053500</v>
      </c>
      <c r="B51" s="55" t="s">
        <v>266</v>
      </c>
      <c r="C51" s="56"/>
      <c r="D51" s="22">
        <f>SUM(D52:D54)</f>
        <v>20347413</v>
      </c>
    </row>
    <row r="52" spans="1:5" s="3" customFormat="1" ht="33.950000000000003" customHeight="1" x14ac:dyDescent="0.3">
      <c r="A52" s="21" t="s">
        <v>193</v>
      </c>
      <c r="B52" s="50" t="s">
        <v>34</v>
      </c>
      <c r="C52" s="51"/>
      <c r="D52" s="23">
        <f>7200000</f>
        <v>7200000</v>
      </c>
    </row>
    <row r="53" spans="1:5" s="3" customFormat="1" ht="33.75" customHeight="1" x14ac:dyDescent="0.3">
      <c r="A53" s="36" t="s">
        <v>160</v>
      </c>
      <c r="B53" s="50" t="s">
        <v>45</v>
      </c>
      <c r="C53" s="51"/>
      <c r="D53" s="23">
        <f>4500000</f>
        <v>4500000</v>
      </c>
    </row>
    <row r="54" spans="1:5" s="3" customFormat="1" ht="33.75" customHeight="1" x14ac:dyDescent="0.3">
      <c r="A54" s="21" t="s">
        <v>228</v>
      </c>
      <c r="B54" s="52" t="s">
        <v>42</v>
      </c>
      <c r="C54" s="53"/>
      <c r="D54" s="23">
        <f>8647413</f>
        <v>8647413</v>
      </c>
    </row>
    <row r="55" spans="1:5" s="3" customFormat="1" ht="33" customHeight="1" x14ac:dyDescent="0.3">
      <c r="A55" s="37">
        <v>41053900</v>
      </c>
      <c r="B55" s="55" t="s">
        <v>102</v>
      </c>
      <c r="C55" s="56"/>
      <c r="D55" s="22">
        <f>D57+D100+D59+D175+D248+D252+D254+D256+D258+D250+D260</f>
        <v>145924205</v>
      </c>
    </row>
    <row r="56" spans="1:5" s="3" customFormat="1" ht="33" customHeight="1" x14ac:dyDescent="0.3">
      <c r="A56" s="35"/>
      <c r="B56" s="50" t="s">
        <v>103</v>
      </c>
      <c r="C56" s="51"/>
      <c r="D56" s="23"/>
    </row>
    <row r="57" spans="1:5" s="3" customFormat="1" ht="33.75" customHeight="1" x14ac:dyDescent="0.3">
      <c r="A57" s="35"/>
      <c r="B57" s="55" t="s">
        <v>113</v>
      </c>
      <c r="C57" s="56"/>
      <c r="D57" s="22">
        <f>D58</f>
        <v>2600000</v>
      </c>
    </row>
    <row r="58" spans="1:5" s="3" customFormat="1" ht="33.75" customHeight="1" x14ac:dyDescent="0.3">
      <c r="A58" s="36" t="s">
        <v>114</v>
      </c>
      <c r="B58" s="50" t="s">
        <v>19</v>
      </c>
      <c r="C58" s="51"/>
      <c r="D58" s="23">
        <f>2600000</f>
        <v>2600000</v>
      </c>
    </row>
    <row r="59" spans="1:5" s="3" customFormat="1" ht="75.75" customHeight="1" x14ac:dyDescent="0.3">
      <c r="A59" s="36"/>
      <c r="B59" s="54" t="s">
        <v>157</v>
      </c>
      <c r="C59" s="54"/>
      <c r="D59" s="22">
        <f>SUM(D60:D99)</f>
        <v>2577200</v>
      </c>
      <c r="E59" s="16"/>
    </row>
    <row r="60" spans="1:5" s="3" customFormat="1" ht="33.950000000000003" customHeight="1" x14ac:dyDescent="0.3">
      <c r="A60" s="36" t="s">
        <v>185</v>
      </c>
      <c r="B60" s="52" t="s">
        <v>111</v>
      </c>
      <c r="C60" s="53"/>
      <c r="D60" s="23">
        <f>100000</f>
        <v>100000</v>
      </c>
    </row>
    <row r="61" spans="1:5" s="3" customFormat="1" ht="37.5" customHeight="1" x14ac:dyDescent="0.3">
      <c r="A61" s="21" t="s">
        <v>187</v>
      </c>
      <c r="B61" s="52" t="s">
        <v>24</v>
      </c>
      <c r="C61" s="53"/>
      <c r="D61" s="23">
        <f>250000</f>
        <v>250000</v>
      </c>
    </row>
    <row r="62" spans="1:5" s="3" customFormat="1" ht="33.950000000000003" customHeight="1" x14ac:dyDescent="0.3">
      <c r="A62" s="21" t="s">
        <v>193</v>
      </c>
      <c r="B62" s="50" t="s">
        <v>34</v>
      </c>
      <c r="C62" s="51"/>
      <c r="D62" s="23">
        <f>100000</f>
        <v>100000</v>
      </c>
    </row>
    <row r="63" spans="1:5" s="3" customFormat="1" ht="33.950000000000003" customHeight="1" x14ac:dyDescent="0.3">
      <c r="A63" s="21" t="s">
        <v>194</v>
      </c>
      <c r="B63" s="50" t="s">
        <v>35</v>
      </c>
      <c r="C63" s="51"/>
      <c r="D63" s="23">
        <f>50000</f>
        <v>50000</v>
      </c>
    </row>
    <row r="64" spans="1:5" s="3" customFormat="1" ht="33.75" customHeight="1" x14ac:dyDescent="0.3">
      <c r="A64" s="21" t="s">
        <v>158</v>
      </c>
      <c r="B64" s="50" t="s">
        <v>155</v>
      </c>
      <c r="C64" s="51"/>
      <c r="D64" s="23">
        <f>30000</f>
        <v>30000</v>
      </c>
    </row>
    <row r="65" spans="1:4" s="3" customFormat="1" ht="33.950000000000003" customHeight="1" x14ac:dyDescent="0.3">
      <c r="A65" s="36" t="s">
        <v>159</v>
      </c>
      <c r="B65" s="50" t="s">
        <v>36</v>
      </c>
      <c r="C65" s="51"/>
      <c r="D65" s="23">
        <f>80000</f>
        <v>80000</v>
      </c>
    </row>
    <row r="66" spans="1:4" s="3" customFormat="1" ht="33.75" customHeight="1" x14ac:dyDescent="0.3">
      <c r="A66" s="36" t="s">
        <v>105</v>
      </c>
      <c r="B66" s="50" t="s">
        <v>55</v>
      </c>
      <c r="C66" s="51"/>
      <c r="D66" s="23">
        <v>150000</v>
      </c>
    </row>
    <row r="67" spans="1:4" s="3" customFormat="1" ht="33.75" customHeight="1" x14ac:dyDescent="0.3">
      <c r="A67" s="36" t="s">
        <v>160</v>
      </c>
      <c r="B67" s="50" t="s">
        <v>45</v>
      </c>
      <c r="C67" s="51"/>
      <c r="D67" s="23">
        <f>30000</f>
        <v>30000</v>
      </c>
    </row>
    <row r="68" spans="1:4" s="3" customFormat="1" ht="33.75" customHeight="1" x14ac:dyDescent="0.3">
      <c r="A68" s="36" t="s">
        <v>161</v>
      </c>
      <c r="B68" s="50" t="s">
        <v>7</v>
      </c>
      <c r="C68" s="51"/>
      <c r="D68" s="23">
        <f>36000</f>
        <v>36000</v>
      </c>
    </row>
    <row r="69" spans="1:4" s="3" customFormat="1" ht="33.950000000000003" customHeight="1" x14ac:dyDescent="0.3">
      <c r="A69" s="36" t="s">
        <v>162</v>
      </c>
      <c r="B69" s="50" t="s">
        <v>53</v>
      </c>
      <c r="C69" s="51"/>
      <c r="D69" s="23">
        <f>34000</f>
        <v>34000</v>
      </c>
    </row>
    <row r="70" spans="1:4" s="3" customFormat="1" ht="33.950000000000003" customHeight="1" x14ac:dyDescent="0.3">
      <c r="A70" s="36" t="s">
        <v>198</v>
      </c>
      <c r="B70" s="50" t="s">
        <v>38</v>
      </c>
      <c r="C70" s="51"/>
      <c r="D70" s="23">
        <f>28000</f>
        <v>28000</v>
      </c>
    </row>
    <row r="71" spans="1:4" s="3" customFormat="1" ht="33.75" customHeight="1" x14ac:dyDescent="0.3">
      <c r="A71" s="36" t="s">
        <v>199</v>
      </c>
      <c r="B71" s="50" t="s">
        <v>16</v>
      </c>
      <c r="C71" s="51"/>
      <c r="D71" s="23">
        <f>20000</f>
        <v>20000</v>
      </c>
    </row>
    <row r="72" spans="1:4" s="3" customFormat="1" ht="33.75" customHeight="1" x14ac:dyDescent="0.3">
      <c r="A72" s="36" t="s">
        <v>163</v>
      </c>
      <c r="B72" s="50" t="s">
        <v>68</v>
      </c>
      <c r="C72" s="51"/>
      <c r="D72" s="23">
        <f>33000</f>
        <v>33000</v>
      </c>
    </row>
    <row r="73" spans="1:4" s="3" customFormat="1" ht="33.75" customHeight="1" x14ac:dyDescent="0.3">
      <c r="A73" s="36" t="s">
        <v>200</v>
      </c>
      <c r="B73" s="50" t="s">
        <v>6</v>
      </c>
      <c r="C73" s="51"/>
      <c r="D73" s="23">
        <f>40000</f>
        <v>40000</v>
      </c>
    </row>
    <row r="74" spans="1:4" s="3" customFormat="1" ht="33.75" customHeight="1" x14ac:dyDescent="0.3">
      <c r="A74" s="36" t="s">
        <v>164</v>
      </c>
      <c r="B74" s="50" t="s">
        <v>165</v>
      </c>
      <c r="C74" s="51"/>
      <c r="D74" s="23">
        <f>3000</f>
        <v>3000</v>
      </c>
    </row>
    <row r="75" spans="1:4" s="3" customFormat="1" ht="33.75" customHeight="1" x14ac:dyDescent="0.3">
      <c r="A75" s="36" t="s">
        <v>201</v>
      </c>
      <c r="B75" s="50" t="s">
        <v>8</v>
      </c>
      <c r="C75" s="51"/>
      <c r="D75" s="23">
        <v>50000</v>
      </c>
    </row>
    <row r="76" spans="1:4" s="3" customFormat="1" ht="33.75" customHeight="1" x14ac:dyDescent="0.3">
      <c r="A76" s="36" t="s">
        <v>166</v>
      </c>
      <c r="B76" s="50" t="s">
        <v>37</v>
      </c>
      <c r="C76" s="51"/>
      <c r="D76" s="23">
        <f>31000</f>
        <v>31000</v>
      </c>
    </row>
    <row r="77" spans="1:4" s="3" customFormat="1" ht="33.950000000000003" customHeight="1" x14ac:dyDescent="0.3">
      <c r="A77" s="36" t="s">
        <v>167</v>
      </c>
      <c r="B77" s="50" t="s">
        <v>62</v>
      </c>
      <c r="C77" s="51"/>
      <c r="D77" s="23">
        <f>34000</f>
        <v>34000</v>
      </c>
    </row>
    <row r="78" spans="1:4" s="3" customFormat="1" ht="33.950000000000003" customHeight="1" x14ac:dyDescent="0.3">
      <c r="A78" s="36" t="s">
        <v>168</v>
      </c>
      <c r="B78" s="50" t="s">
        <v>69</v>
      </c>
      <c r="C78" s="51"/>
      <c r="D78" s="23">
        <f>20000</f>
        <v>20000</v>
      </c>
    </row>
    <row r="79" spans="1:4" s="3" customFormat="1" ht="33.950000000000003" customHeight="1" x14ac:dyDescent="0.3">
      <c r="A79" s="36" t="s">
        <v>169</v>
      </c>
      <c r="B79" s="50" t="s">
        <v>20</v>
      </c>
      <c r="C79" s="51"/>
      <c r="D79" s="23">
        <f>32000</f>
        <v>32000</v>
      </c>
    </row>
    <row r="80" spans="1:4" s="3" customFormat="1" ht="33.950000000000003" customHeight="1" x14ac:dyDescent="0.3">
      <c r="A80" s="36" t="s">
        <v>306</v>
      </c>
      <c r="B80" s="50" t="s">
        <v>56</v>
      </c>
      <c r="C80" s="51"/>
      <c r="D80" s="23">
        <f>100000</f>
        <v>100000</v>
      </c>
    </row>
    <row r="81" spans="1:4" s="3" customFormat="1" ht="33.950000000000003" customHeight="1" x14ac:dyDescent="0.3">
      <c r="A81" s="21" t="s">
        <v>170</v>
      </c>
      <c r="B81" s="52" t="s">
        <v>88</v>
      </c>
      <c r="C81" s="53"/>
      <c r="D81" s="23">
        <f>52000</f>
        <v>52000</v>
      </c>
    </row>
    <row r="82" spans="1:4" s="3" customFormat="1" ht="33.950000000000003" customHeight="1" x14ac:dyDescent="0.3">
      <c r="A82" s="21" t="s">
        <v>211</v>
      </c>
      <c r="B82" s="52" t="s">
        <v>87</v>
      </c>
      <c r="C82" s="53"/>
      <c r="D82" s="23">
        <f>40000</f>
        <v>40000</v>
      </c>
    </row>
    <row r="83" spans="1:4" s="3" customFormat="1" ht="33.950000000000003" customHeight="1" x14ac:dyDescent="0.3">
      <c r="A83" s="21" t="s">
        <v>212</v>
      </c>
      <c r="B83" s="52" t="s">
        <v>39</v>
      </c>
      <c r="C83" s="53"/>
      <c r="D83" s="23">
        <v>50000</v>
      </c>
    </row>
    <row r="84" spans="1:4" s="3" customFormat="1" ht="33.950000000000003" customHeight="1" x14ac:dyDescent="0.3">
      <c r="A84" s="21" t="s">
        <v>174</v>
      </c>
      <c r="B84" s="52" t="s">
        <v>74</v>
      </c>
      <c r="C84" s="53"/>
      <c r="D84" s="23">
        <f>70000</f>
        <v>70000</v>
      </c>
    </row>
    <row r="85" spans="1:4" s="3" customFormat="1" ht="33.950000000000003" customHeight="1" x14ac:dyDescent="0.3">
      <c r="A85" s="36" t="s">
        <v>172</v>
      </c>
      <c r="B85" s="52" t="s">
        <v>171</v>
      </c>
      <c r="C85" s="53"/>
      <c r="D85" s="23">
        <f>40000</f>
        <v>40000</v>
      </c>
    </row>
    <row r="86" spans="1:4" s="3" customFormat="1" ht="33.75" customHeight="1" x14ac:dyDescent="0.3">
      <c r="A86" s="21" t="s">
        <v>173</v>
      </c>
      <c r="B86" s="52" t="s">
        <v>23</v>
      </c>
      <c r="C86" s="53"/>
      <c r="D86" s="23">
        <f>40000</f>
        <v>40000</v>
      </c>
    </row>
    <row r="87" spans="1:4" s="3" customFormat="1" ht="33.75" customHeight="1" x14ac:dyDescent="0.3">
      <c r="A87" s="21" t="s">
        <v>220</v>
      </c>
      <c r="B87" s="52" t="s">
        <v>59</v>
      </c>
      <c r="C87" s="53"/>
      <c r="D87" s="23">
        <f>200000</f>
        <v>200000</v>
      </c>
    </row>
    <row r="88" spans="1:4" s="3" customFormat="1" ht="33.950000000000003" customHeight="1" x14ac:dyDescent="0.3">
      <c r="A88" s="21" t="s">
        <v>221</v>
      </c>
      <c r="B88" s="52" t="s">
        <v>26</v>
      </c>
      <c r="C88" s="53"/>
      <c r="D88" s="23">
        <f>120000</f>
        <v>120000</v>
      </c>
    </row>
    <row r="89" spans="1:4" s="3" customFormat="1" ht="33.75" customHeight="1" x14ac:dyDescent="0.3">
      <c r="A89" s="21" t="s">
        <v>175</v>
      </c>
      <c r="B89" s="52" t="s">
        <v>12</v>
      </c>
      <c r="C89" s="53"/>
      <c r="D89" s="23">
        <f>70000</f>
        <v>70000</v>
      </c>
    </row>
    <row r="90" spans="1:4" s="3" customFormat="1" ht="33.75" customHeight="1" x14ac:dyDescent="0.3">
      <c r="A90" s="21" t="s">
        <v>269</v>
      </c>
      <c r="B90" s="52" t="s">
        <v>27</v>
      </c>
      <c r="C90" s="53"/>
      <c r="D90" s="23">
        <f>47900</f>
        <v>47900</v>
      </c>
    </row>
    <row r="91" spans="1:4" s="3" customFormat="1" ht="33.950000000000003" customHeight="1" x14ac:dyDescent="0.3">
      <c r="A91" s="21" t="s">
        <v>229</v>
      </c>
      <c r="B91" s="52" t="s">
        <v>110</v>
      </c>
      <c r="C91" s="53"/>
      <c r="D91" s="23">
        <f>40000</f>
        <v>40000</v>
      </c>
    </row>
    <row r="92" spans="1:4" s="3" customFormat="1" ht="33.950000000000003" customHeight="1" x14ac:dyDescent="0.3">
      <c r="A92" s="21" t="s">
        <v>176</v>
      </c>
      <c r="B92" s="52" t="s">
        <v>41</v>
      </c>
      <c r="C92" s="53"/>
      <c r="D92" s="23">
        <f>70000</f>
        <v>70000</v>
      </c>
    </row>
    <row r="93" spans="1:4" s="3" customFormat="1" ht="33.950000000000003" customHeight="1" x14ac:dyDescent="0.3">
      <c r="A93" s="21" t="s">
        <v>230</v>
      </c>
      <c r="B93" s="52" t="s">
        <v>49</v>
      </c>
      <c r="C93" s="53"/>
      <c r="D93" s="23">
        <v>100000</v>
      </c>
    </row>
    <row r="94" spans="1:4" s="3" customFormat="1" ht="33.75" customHeight="1" x14ac:dyDescent="0.3">
      <c r="A94" s="21" t="s">
        <v>233</v>
      </c>
      <c r="B94" s="52" t="s">
        <v>50</v>
      </c>
      <c r="C94" s="53"/>
      <c r="D94" s="23">
        <f>55400</f>
        <v>55400</v>
      </c>
    </row>
    <row r="95" spans="1:4" s="3" customFormat="1" ht="33.950000000000003" customHeight="1" x14ac:dyDescent="0.3">
      <c r="A95" s="21" t="s">
        <v>177</v>
      </c>
      <c r="B95" s="52" t="s">
        <v>58</v>
      </c>
      <c r="C95" s="53"/>
      <c r="D95" s="23">
        <f>100000</f>
        <v>100000</v>
      </c>
    </row>
    <row r="96" spans="1:4" s="3" customFormat="1" ht="33.950000000000003" customHeight="1" x14ac:dyDescent="0.3">
      <c r="A96" s="21" t="s">
        <v>235</v>
      </c>
      <c r="B96" s="52" t="s">
        <v>51</v>
      </c>
      <c r="C96" s="53"/>
      <c r="D96" s="23">
        <f>20000</f>
        <v>20000</v>
      </c>
    </row>
    <row r="97" spans="1:4" s="3" customFormat="1" ht="33.950000000000003" customHeight="1" x14ac:dyDescent="0.3">
      <c r="A97" s="21" t="s">
        <v>283</v>
      </c>
      <c r="B97" s="52" t="s">
        <v>57</v>
      </c>
      <c r="C97" s="53"/>
      <c r="D97" s="23">
        <f>126900</f>
        <v>126900</v>
      </c>
    </row>
    <row r="98" spans="1:4" s="3" customFormat="1" ht="33.950000000000003" customHeight="1" x14ac:dyDescent="0.3">
      <c r="A98" s="21" t="s">
        <v>178</v>
      </c>
      <c r="B98" s="52" t="s">
        <v>13</v>
      </c>
      <c r="C98" s="53"/>
      <c r="D98" s="23">
        <f>50000</f>
        <v>50000</v>
      </c>
    </row>
    <row r="99" spans="1:4" s="3" customFormat="1" ht="33.75" customHeight="1" x14ac:dyDescent="0.3">
      <c r="A99" s="21" t="s">
        <v>179</v>
      </c>
      <c r="B99" s="52" t="s">
        <v>63</v>
      </c>
      <c r="C99" s="53"/>
      <c r="D99" s="23">
        <f>34000</f>
        <v>34000</v>
      </c>
    </row>
    <row r="100" spans="1:4" s="3" customFormat="1" ht="68.25" customHeight="1" x14ac:dyDescent="0.3">
      <c r="A100" s="35"/>
      <c r="B100" s="55" t="s">
        <v>323</v>
      </c>
      <c r="C100" s="56"/>
      <c r="D100" s="22">
        <f>SUM(D101:D174)</f>
        <v>5624200</v>
      </c>
    </row>
    <row r="101" spans="1:4" s="3" customFormat="1" ht="33.950000000000003" customHeight="1" x14ac:dyDescent="0.3">
      <c r="A101" s="36" t="s">
        <v>183</v>
      </c>
      <c r="B101" s="50" t="s">
        <v>15</v>
      </c>
      <c r="C101" s="51"/>
      <c r="D101" s="23">
        <f>70100</f>
        <v>70100</v>
      </c>
    </row>
    <row r="102" spans="1:4" s="3" customFormat="1" ht="33.75" customHeight="1" x14ac:dyDescent="0.3">
      <c r="A102" s="36" t="s">
        <v>184</v>
      </c>
      <c r="B102" s="52" t="s">
        <v>18</v>
      </c>
      <c r="C102" s="53"/>
      <c r="D102" s="23">
        <f>130500</f>
        <v>130500</v>
      </c>
    </row>
    <row r="103" spans="1:4" s="3" customFormat="1" ht="33.950000000000003" customHeight="1" x14ac:dyDescent="0.3">
      <c r="A103" s="36" t="s">
        <v>185</v>
      </c>
      <c r="B103" s="52" t="s">
        <v>111</v>
      </c>
      <c r="C103" s="53"/>
      <c r="D103" s="23">
        <f>701100</f>
        <v>701100</v>
      </c>
    </row>
    <row r="104" spans="1:4" s="3" customFormat="1" ht="33.75" customHeight="1" x14ac:dyDescent="0.3">
      <c r="A104" s="36" t="s">
        <v>114</v>
      </c>
      <c r="B104" s="50" t="s">
        <v>19</v>
      </c>
      <c r="C104" s="51"/>
      <c r="D104" s="23">
        <f>1819000+800</f>
        <v>1819800</v>
      </c>
    </row>
    <row r="105" spans="1:4" s="3" customFormat="1" ht="33.75" customHeight="1" x14ac:dyDescent="0.3">
      <c r="A105" s="36" t="s">
        <v>186</v>
      </c>
      <c r="B105" s="50" t="s">
        <v>22</v>
      </c>
      <c r="C105" s="51"/>
      <c r="D105" s="23">
        <f>209600</f>
        <v>209600</v>
      </c>
    </row>
    <row r="106" spans="1:4" s="3" customFormat="1" ht="37.5" customHeight="1" x14ac:dyDescent="0.3">
      <c r="A106" s="21" t="s">
        <v>187</v>
      </c>
      <c r="B106" s="52" t="s">
        <v>24</v>
      </c>
      <c r="C106" s="53"/>
      <c r="D106" s="23">
        <f>304300</f>
        <v>304300</v>
      </c>
    </row>
    <row r="107" spans="1:4" s="3" customFormat="1" ht="37.5" customHeight="1" x14ac:dyDescent="0.3">
      <c r="A107" s="21" t="s">
        <v>188</v>
      </c>
      <c r="B107" s="50" t="s">
        <v>25</v>
      </c>
      <c r="C107" s="51"/>
      <c r="D107" s="23">
        <f>81300</f>
        <v>81300</v>
      </c>
    </row>
    <row r="108" spans="1:4" s="3" customFormat="1" ht="33.75" customHeight="1" x14ac:dyDescent="0.3">
      <c r="A108" s="21" t="s">
        <v>189</v>
      </c>
      <c r="B108" s="50" t="s">
        <v>32</v>
      </c>
      <c r="C108" s="51"/>
      <c r="D108" s="23">
        <f>126600</f>
        <v>126600</v>
      </c>
    </row>
    <row r="109" spans="1:4" s="3" customFormat="1" ht="37.5" customHeight="1" x14ac:dyDescent="0.3">
      <c r="A109" s="21" t="s">
        <v>190</v>
      </c>
      <c r="B109" s="50" t="s">
        <v>29</v>
      </c>
      <c r="C109" s="51"/>
      <c r="D109" s="23">
        <f>89000</f>
        <v>89000</v>
      </c>
    </row>
    <row r="110" spans="1:4" s="3" customFormat="1" ht="37.5" customHeight="1" x14ac:dyDescent="0.3">
      <c r="A110" s="21" t="s">
        <v>191</v>
      </c>
      <c r="B110" s="50" t="s">
        <v>30</v>
      </c>
      <c r="C110" s="51"/>
      <c r="D110" s="23">
        <f>80900</f>
        <v>80900</v>
      </c>
    </row>
    <row r="111" spans="1:4" s="3" customFormat="1" ht="33.75" customHeight="1" x14ac:dyDescent="0.3">
      <c r="A111" s="36" t="s">
        <v>192</v>
      </c>
      <c r="B111" s="50" t="s">
        <v>33</v>
      </c>
      <c r="C111" s="51"/>
      <c r="D111" s="23">
        <f>65500</f>
        <v>65500</v>
      </c>
    </row>
    <row r="112" spans="1:4" s="3" customFormat="1" ht="33.950000000000003" customHeight="1" x14ac:dyDescent="0.3">
      <c r="A112" s="21" t="s">
        <v>193</v>
      </c>
      <c r="B112" s="50" t="s">
        <v>34</v>
      </c>
      <c r="C112" s="51"/>
      <c r="D112" s="23">
        <f>28700</f>
        <v>28700</v>
      </c>
    </row>
    <row r="113" spans="1:4" s="3" customFormat="1" ht="33.950000000000003" customHeight="1" x14ac:dyDescent="0.3">
      <c r="A113" s="21" t="s">
        <v>194</v>
      </c>
      <c r="B113" s="50" t="s">
        <v>35</v>
      </c>
      <c r="C113" s="51"/>
      <c r="D113" s="23">
        <f>31300</f>
        <v>31300</v>
      </c>
    </row>
    <row r="114" spans="1:4" s="3" customFormat="1" ht="33.75" customHeight="1" x14ac:dyDescent="0.3">
      <c r="A114" s="21" t="s">
        <v>195</v>
      </c>
      <c r="B114" s="50" t="s">
        <v>14</v>
      </c>
      <c r="C114" s="51"/>
      <c r="D114" s="23">
        <f>11400</f>
        <v>11400</v>
      </c>
    </row>
    <row r="115" spans="1:4" s="3" customFormat="1" ht="33.75" customHeight="1" x14ac:dyDescent="0.3">
      <c r="A115" s="21" t="s">
        <v>158</v>
      </c>
      <c r="B115" s="50" t="s">
        <v>155</v>
      </c>
      <c r="C115" s="51"/>
      <c r="D115" s="23">
        <f>8300</f>
        <v>8300</v>
      </c>
    </row>
    <row r="116" spans="1:4" s="3" customFormat="1" ht="33.75" customHeight="1" x14ac:dyDescent="0.3">
      <c r="A116" s="21" t="s">
        <v>196</v>
      </c>
      <c r="B116" s="50" t="s">
        <v>44</v>
      </c>
      <c r="C116" s="51"/>
      <c r="D116" s="23">
        <f>64700</f>
        <v>64700</v>
      </c>
    </row>
    <row r="117" spans="1:4" s="3" customFormat="1" ht="33.950000000000003" customHeight="1" x14ac:dyDescent="0.3">
      <c r="A117" s="36" t="s">
        <v>159</v>
      </c>
      <c r="B117" s="50" t="s">
        <v>36</v>
      </c>
      <c r="C117" s="51"/>
      <c r="D117" s="23">
        <f>23800</f>
        <v>23800</v>
      </c>
    </row>
    <row r="118" spans="1:4" s="3" customFormat="1" ht="33.950000000000003" customHeight="1" x14ac:dyDescent="0.3">
      <c r="A118" s="36" t="s">
        <v>197</v>
      </c>
      <c r="B118" s="50" t="s">
        <v>101</v>
      </c>
      <c r="C118" s="51"/>
      <c r="D118" s="23">
        <f>36000</f>
        <v>36000</v>
      </c>
    </row>
    <row r="119" spans="1:4" s="3" customFormat="1" ht="33.75" customHeight="1" x14ac:dyDescent="0.3">
      <c r="A119" s="36" t="s">
        <v>105</v>
      </c>
      <c r="B119" s="50" t="s">
        <v>55</v>
      </c>
      <c r="C119" s="51"/>
      <c r="D119" s="23">
        <f>110700</f>
        <v>110700</v>
      </c>
    </row>
    <row r="120" spans="1:4" s="3" customFormat="1" ht="33.950000000000003" customHeight="1" x14ac:dyDescent="0.3">
      <c r="A120" s="36" t="s">
        <v>160</v>
      </c>
      <c r="B120" s="50" t="s">
        <v>45</v>
      </c>
      <c r="C120" s="51"/>
      <c r="D120" s="23">
        <f>13100</f>
        <v>13100</v>
      </c>
    </row>
    <row r="121" spans="1:4" s="3" customFormat="1" ht="33.950000000000003" customHeight="1" x14ac:dyDescent="0.3">
      <c r="A121" s="36" t="s">
        <v>161</v>
      </c>
      <c r="B121" s="50" t="s">
        <v>7</v>
      </c>
      <c r="C121" s="51"/>
      <c r="D121" s="23">
        <f>22500</f>
        <v>22500</v>
      </c>
    </row>
    <row r="122" spans="1:4" s="3" customFormat="1" ht="33.950000000000003" customHeight="1" x14ac:dyDescent="0.3">
      <c r="A122" s="36" t="s">
        <v>162</v>
      </c>
      <c r="B122" s="50" t="s">
        <v>53</v>
      </c>
      <c r="C122" s="51"/>
      <c r="D122" s="23">
        <f>13200</f>
        <v>13200</v>
      </c>
    </row>
    <row r="123" spans="1:4" s="3" customFormat="1" ht="33.950000000000003" customHeight="1" x14ac:dyDescent="0.3">
      <c r="A123" s="36" t="s">
        <v>198</v>
      </c>
      <c r="B123" s="50" t="s">
        <v>38</v>
      </c>
      <c r="C123" s="51"/>
      <c r="D123" s="23">
        <f>18100</f>
        <v>18100</v>
      </c>
    </row>
    <row r="124" spans="1:4" s="3" customFormat="1" ht="33.75" customHeight="1" x14ac:dyDescent="0.3">
      <c r="A124" s="36" t="s">
        <v>199</v>
      </c>
      <c r="B124" s="50" t="s">
        <v>16</v>
      </c>
      <c r="C124" s="51"/>
      <c r="D124" s="23">
        <f>53700</f>
        <v>53700</v>
      </c>
    </row>
    <row r="125" spans="1:4" s="3" customFormat="1" ht="33.950000000000003" customHeight="1" x14ac:dyDescent="0.3">
      <c r="A125" s="36" t="s">
        <v>163</v>
      </c>
      <c r="B125" s="50" t="s">
        <v>68</v>
      </c>
      <c r="C125" s="51"/>
      <c r="D125" s="23">
        <f>15400</f>
        <v>15400</v>
      </c>
    </row>
    <row r="126" spans="1:4" s="3" customFormat="1" ht="33.75" customHeight="1" x14ac:dyDescent="0.3">
      <c r="A126" s="36" t="s">
        <v>200</v>
      </c>
      <c r="B126" s="50" t="s">
        <v>6</v>
      </c>
      <c r="C126" s="51"/>
      <c r="D126" s="23">
        <f>25600</f>
        <v>25600</v>
      </c>
    </row>
    <row r="127" spans="1:4" s="3" customFormat="1" ht="33.75" customHeight="1" x14ac:dyDescent="0.3">
      <c r="A127" s="36" t="s">
        <v>164</v>
      </c>
      <c r="B127" s="50" t="s">
        <v>165</v>
      </c>
      <c r="C127" s="51"/>
      <c r="D127" s="23">
        <f>10000</f>
        <v>10000</v>
      </c>
    </row>
    <row r="128" spans="1:4" s="3" customFormat="1" ht="33.950000000000003" customHeight="1" x14ac:dyDescent="0.3">
      <c r="A128" s="36" t="s">
        <v>201</v>
      </c>
      <c r="B128" s="50" t="s">
        <v>8</v>
      </c>
      <c r="C128" s="51"/>
      <c r="D128" s="23">
        <f>11400</f>
        <v>11400</v>
      </c>
    </row>
    <row r="129" spans="1:4" s="3" customFormat="1" ht="33.950000000000003" customHeight="1" x14ac:dyDescent="0.3">
      <c r="A129" s="36" t="s">
        <v>202</v>
      </c>
      <c r="B129" s="50" t="s">
        <v>61</v>
      </c>
      <c r="C129" s="51"/>
      <c r="D129" s="23">
        <f>38300</f>
        <v>38300</v>
      </c>
    </row>
    <row r="130" spans="1:4" s="3" customFormat="1" ht="33.950000000000003" customHeight="1" x14ac:dyDescent="0.3">
      <c r="A130" s="36" t="s">
        <v>167</v>
      </c>
      <c r="B130" s="50" t="s">
        <v>62</v>
      </c>
      <c r="C130" s="51"/>
      <c r="D130" s="23">
        <f>15800</f>
        <v>15800</v>
      </c>
    </row>
    <row r="131" spans="1:4" s="3" customFormat="1" ht="33.950000000000003" customHeight="1" x14ac:dyDescent="0.3">
      <c r="A131" s="36" t="s">
        <v>203</v>
      </c>
      <c r="B131" s="50" t="s">
        <v>204</v>
      </c>
      <c r="C131" s="51"/>
      <c r="D131" s="23">
        <f>9500</f>
        <v>9500</v>
      </c>
    </row>
    <row r="132" spans="1:4" s="3" customFormat="1" ht="33.950000000000003" customHeight="1" x14ac:dyDescent="0.3">
      <c r="A132" s="36" t="s">
        <v>205</v>
      </c>
      <c r="B132" s="50" t="s">
        <v>46</v>
      </c>
      <c r="C132" s="51"/>
      <c r="D132" s="23">
        <f>56100</f>
        <v>56100</v>
      </c>
    </row>
    <row r="133" spans="1:4" s="3" customFormat="1" ht="33.950000000000003" customHeight="1" x14ac:dyDescent="0.3">
      <c r="A133" s="36" t="s">
        <v>181</v>
      </c>
      <c r="B133" s="50" t="s">
        <v>182</v>
      </c>
      <c r="C133" s="51"/>
      <c r="D133" s="23">
        <f>14100</f>
        <v>14100</v>
      </c>
    </row>
    <row r="134" spans="1:4" s="3" customFormat="1" ht="33.950000000000003" customHeight="1" x14ac:dyDescent="0.3">
      <c r="A134" s="36" t="s">
        <v>168</v>
      </c>
      <c r="B134" s="50" t="s">
        <v>69</v>
      </c>
      <c r="C134" s="51"/>
      <c r="D134" s="23">
        <f>15000</f>
        <v>15000</v>
      </c>
    </row>
    <row r="135" spans="1:4" s="3" customFormat="1" ht="33.950000000000003" customHeight="1" x14ac:dyDescent="0.3">
      <c r="A135" s="36" t="s">
        <v>169</v>
      </c>
      <c r="B135" s="50" t="s">
        <v>20</v>
      </c>
      <c r="C135" s="51"/>
      <c r="D135" s="23">
        <f>55400</f>
        <v>55400</v>
      </c>
    </row>
    <row r="136" spans="1:4" s="3" customFormat="1" ht="33.950000000000003" customHeight="1" x14ac:dyDescent="0.3">
      <c r="A136" s="36" t="s">
        <v>206</v>
      </c>
      <c r="B136" s="50" t="s">
        <v>65</v>
      </c>
      <c r="C136" s="51"/>
      <c r="D136" s="23">
        <f>10700</f>
        <v>10700</v>
      </c>
    </row>
    <row r="137" spans="1:4" s="3" customFormat="1" ht="33.950000000000003" customHeight="1" x14ac:dyDescent="0.3">
      <c r="A137" s="21" t="s">
        <v>207</v>
      </c>
      <c r="B137" s="52" t="s">
        <v>208</v>
      </c>
      <c r="C137" s="53"/>
      <c r="D137" s="23">
        <f>6100</f>
        <v>6100</v>
      </c>
    </row>
    <row r="138" spans="1:4" s="3" customFormat="1" ht="33.75" customHeight="1" x14ac:dyDescent="0.3">
      <c r="A138" s="21" t="s">
        <v>209</v>
      </c>
      <c r="B138" s="52" t="s">
        <v>9</v>
      </c>
      <c r="C138" s="53"/>
      <c r="D138" s="23">
        <f>63500</f>
        <v>63500</v>
      </c>
    </row>
    <row r="139" spans="1:4" s="3" customFormat="1" ht="33.75" customHeight="1" x14ac:dyDescent="0.3">
      <c r="A139" s="21" t="s">
        <v>210</v>
      </c>
      <c r="B139" s="52" t="s">
        <v>73</v>
      </c>
      <c r="C139" s="53"/>
      <c r="D139" s="23">
        <f>20000</f>
        <v>20000</v>
      </c>
    </row>
    <row r="140" spans="1:4" s="3" customFormat="1" ht="33.950000000000003" customHeight="1" x14ac:dyDescent="0.3">
      <c r="A140" s="21" t="s">
        <v>170</v>
      </c>
      <c r="B140" s="52" t="s">
        <v>88</v>
      </c>
      <c r="C140" s="53"/>
      <c r="D140" s="23">
        <f>19600</f>
        <v>19600</v>
      </c>
    </row>
    <row r="141" spans="1:4" s="3" customFormat="1" ht="33.950000000000003" customHeight="1" x14ac:dyDescent="0.3">
      <c r="A141" s="21" t="s">
        <v>211</v>
      </c>
      <c r="B141" s="52" t="s">
        <v>87</v>
      </c>
      <c r="C141" s="53"/>
      <c r="D141" s="23">
        <f>28600</f>
        <v>28600</v>
      </c>
    </row>
    <row r="142" spans="1:4" s="3" customFormat="1" ht="33.950000000000003" customHeight="1" x14ac:dyDescent="0.3">
      <c r="A142" s="21" t="s">
        <v>212</v>
      </c>
      <c r="B142" s="52" t="s">
        <v>39</v>
      </c>
      <c r="C142" s="53"/>
      <c r="D142" s="23">
        <f>17700</f>
        <v>17700</v>
      </c>
    </row>
    <row r="143" spans="1:4" s="3" customFormat="1" ht="33.950000000000003" customHeight="1" x14ac:dyDescent="0.3">
      <c r="A143" s="21" t="s">
        <v>213</v>
      </c>
      <c r="B143" s="52" t="s">
        <v>214</v>
      </c>
      <c r="C143" s="53"/>
      <c r="D143" s="23">
        <f>13600</f>
        <v>13600</v>
      </c>
    </row>
    <row r="144" spans="1:4" s="3" customFormat="1" ht="33.950000000000003" customHeight="1" x14ac:dyDescent="0.3">
      <c r="A144" s="21" t="s">
        <v>215</v>
      </c>
      <c r="B144" s="52" t="s">
        <v>156</v>
      </c>
      <c r="C144" s="53"/>
      <c r="D144" s="23">
        <f>7400</f>
        <v>7400</v>
      </c>
    </row>
    <row r="145" spans="1:4" s="3" customFormat="1" ht="33.950000000000003" customHeight="1" x14ac:dyDescent="0.3">
      <c r="A145" s="21" t="s">
        <v>174</v>
      </c>
      <c r="B145" s="52" t="s">
        <v>74</v>
      </c>
      <c r="C145" s="53"/>
      <c r="D145" s="23">
        <f>31500</f>
        <v>31500</v>
      </c>
    </row>
    <row r="146" spans="1:4" s="3" customFormat="1" ht="33.75" customHeight="1" x14ac:dyDescent="0.3">
      <c r="A146" s="21" t="s">
        <v>173</v>
      </c>
      <c r="B146" s="52" t="s">
        <v>23</v>
      </c>
      <c r="C146" s="53"/>
      <c r="D146" s="23">
        <f>48900</f>
        <v>48900</v>
      </c>
    </row>
    <row r="147" spans="1:4" s="3" customFormat="1" ht="33.75" customHeight="1" x14ac:dyDescent="0.3">
      <c r="A147" s="21" t="s">
        <v>216</v>
      </c>
      <c r="B147" s="52" t="s">
        <v>40</v>
      </c>
      <c r="C147" s="53"/>
      <c r="D147" s="23">
        <f>23100</f>
        <v>23100</v>
      </c>
    </row>
    <row r="148" spans="1:4" s="3" customFormat="1" ht="33.75" customHeight="1" x14ac:dyDescent="0.3">
      <c r="A148" s="21" t="s">
        <v>217</v>
      </c>
      <c r="B148" s="52" t="s">
        <v>10</v>
      </c>
      <c r="C148" s="53"/>
      <c r="D148" s="23">
        <f>35100</f>
        <v>35100</v>
      </c>
    </row>
    <row r="149" spans="1:4" s="3" customFormat="1" ht="33.950000000000003" customHeight="1" x14ac:dyDescent="0.3">
      <c r="A149" s="21" t="s">
        <v>218</v>
      </c>
      <c r="B149" s="52" t="s">
        <v>70</v>
      </c>
      <c r="C149" s="53"/>
      <c r="D149" s="23">
        <f>61200</f>
        <v>61200</v>
      </c>
    </row>
    <row r="150" spans="1:4" s="3" customFormat="1" ht="33.950000000000003" customHeight="1" x14ac:dyDescent="0.3">
      <c r="A150" s="21" t="s">
        <v>219</v>
      </c>
      <c r="B150" s="52" t="s">
        <v>72</v>
      </c>
      <c r="C150" s="53"/>
      <c r="D150" s="23">
        <f>36300</f>
        <v>36300</v>
      </c>
    </row>
    <row r="151" spans="1:4" s="3" customFormat="1" ht="33.75" customHeight="1" x14ac:dyDescent="0.3">
      <c r="A151" s="21" t="s">
        <v>220</v>
      </c>
      <c r="B151" s="52" t="s">
        <v>59</v>
      </c>
      <c r="C151" s="53"/>
      <c r="D151" s="23">
        <f>68200</f>
        <v>68200</v>
      </c>
    </row>
    <row r="152" spans="1:4" s="3" customFormat="1" ht="33.950000000000003" customHeight="1" x14ac:dyDescent="0.3">
      <c r="A152" s="21" t="s">
        <v>221</v>
      </c>
      <c r="B152" s="52" t="s">
        <v>26</v>
      </c>
      <c r="C152" s="53"/>
      <c r="D152" s="23">
        <f>25000</f>
        <v>25000</v>
      </c>
    </row>
    <row r="153" spans="1:4" s="3" customFormat="1" ht="33.950000000000003" customHeight="1" x14ac:dyDescent="0.3">
      <c r="A153" s="21" t="s">
        <v>175</v>
      </c>
      <c r="B153" s="52" t="s">
        <v>12</v>
      </c>
      <c r="C153" s="53"/>
      <c r="D153" s="23">
        <f>69400</f>
        <v>69400</v>
      </c>
    </row>
    <row r="154" spans="1:4" s="3" customFormat="1" ht="33.950000000000003" customHeight="1" x14ac:dyDescent="0.3">
      <c r="A154" s="21" t="s">
        <v>222</v>
      </c>
      <c r="B154" s="52" t="s">
        <v>71</v>
      </c>
      <c r="C154" s="53"/>
      <c r="D154" s="23">
        <f>55200</f>
        <v>55200</v>
      </c>
    </row>
    <row r="155" spans="1:4" s="3" customFormat="1" ht="33.75" customHeight="1" x14ac:dyDescent="0.3">
      <c r="A155" s="21" t="s">
        <v>223</v>
      </c>
      <c r="B155" s="52" t="s">
        <v>28</v>
      </c>
      <c r="C155" s="53"/>
      <c r="D155" s="23">
        <f>76100</f>
        <v>76100</v>
      </c>
    </row>
    <row r="156" spans="1:4" s="3" customFormat="1" ht="33.950000000000003" customHeight="1" x14ac:dyDescent="0.3">
      <c r="A156" s="21" t="s">
        <v>261</v>
      </c>
      <c r="B156" s="52" t="s">
        <v>60</v>
      </c>
      <c r="C156" s="53"/>
      <c r="D156" s="23">
        <f>30800</f>
        <v>30800</v>
      </c>
    </row>
    <row r="157" spans="1:4" s="3" customFormat="1" ht="33.950000000000003" customHeight="1" x14ac:dyDescent="0.3">
      <c r="A157" s="21" t="s">
        <v>224</v>
      </c>
      <c r="B157" s="52" t="s">
        <v>48</v>
      </c>
      <c r="C157" s="53"/>
      <c r="D157" s="23">
        <f>9000</f>
        <v>9000</v>
      </c>
    </row>
    <row r="158" spans="1:4" s="3" customFormat="1" ht="33.950000000000003" customHeight="1" x14ac:dyDescent="0.3">
      <c r="A158" s="21" t="s">
        <v>225</v>
      </c>
      <c r="B158" s="52" t="s">
        <v>67</v>
      </c>
      <c r="C158" s="53"/>
      <c r="D158" s="23">
        <f>20500</f>
        <v>20500</v>
      </c>
    </row>
    <row r="159" spans="1:4" s="3" customFormat="1" ht="33.950000000000003" customHeight="1" x14ac:dyDescent="0.3">
      <c r="A159" s="21" t="s">
        <v>226</v>
      </c>
      <c r="B159" s="52" t="s">
        <v>227</v>
      </c>
      <c r="C159" s="53"/>
      <c r="D159" s="23">
        <f>14800</f>
        <v>14800</v>
      </c>
    </row>
    <row r="160" spans="1:4" s="3" customFormat="1" ht="33.75" customHeight="1" x14ac:dyDescent="0.3">
      <c r="A160" s="21" t="s">
        <v>273</v>
      </c>
      <c r="B160" s="52" t="s">
        <v>272</v>
      </c>
      <c r="C160" s="53"/>
      <c r="D160" s="23">
        <f>14800</f>
        <v>14800</v>
      </c>
    </row>
    <row r="161" spans="1:4" s="3" customFormat="1" ht="33.950000000000003" customHeight="1" x14ac:dyDescent="0.3">
      <c r="A161" s="21" t="s">
        <v>228</v>
      </c>
      <c r="B161" s="52" t="s">
        <v>42</v>
      </c>
      <c r="C161" s="53"/>
      <c r="D161" s="23">
        <f>71600</f>
        <v>71600</v>
      </c>
    </row>
    <row r="162" spans="1:4" s="3" customFormat="1" ht="33.950000000000003" customHeight="1" x14ac:dyDescent="0.3">
      <c r="A162" s="21" t="s">
        <v>229</v>
      </c>
      <c r="B162" s="52" t="s">
        <v>110</v>
      </c>
      <c r="C162" s="53"/>
      <c r="D162" s="23">
        <f>9900</f>
        <v>9900</v>
      </c>
    </row>
    <row r="163" spans="1:4" s="3" customFormat="1" ht="33.950000000000003" customHeight="1" x14ac:dyDescent="0.3">
      <c r="A163" s="21" t="s">
        <v>176</v>
      </c>
      <c r="B163" s="52" t="s">
        <v>41</v>
      </c>
      <c r="C163" s="53"/>
      <c r="D163" s="23">
        <f>71300</f>
        <v>71300</v>
      </c>
    </row>
    <row r="164" spans="1:4" s="3" customFormat="1" ht="33.950000000000003" customHeight="1" x14ac:dyDescent="0.3">
      <c r="A164" s="21" t="s">
        <v>230</v>
      </c>
      <c r="B164" s="52" t="s">
        <v>49</v>
      </c>
      <c r="C164" s="53"/>
      <c r="D164" s="23">
        <f>35500</f>
        <v>35500</v>
      </c>
    </row>
    <row r="165" spans="1:4" s="3" customFormat="1" ht="33.950000000000003" customHeight="1" x14ac:dyDescent="0.3">
      <c r="A165" s="21" t="s">
        <v>231</v>
      </c>
      <c r="B165" s="52" t="s">
        <v>232</v>
      </c>
      <c r="C165" s="53"/>
      <c r="D165" s="23">
        <f>17100</f>
        <v>17100</v>
      </c>
    </row>
    <row r="166" spans="1:4" s="3" customFormat="1" ht="33.75" customHeight="1" x14ac:dyDescent="0.3">
      <c r="A166" s="21" t="s">
        <v>233</v>
      </c>
      <c r="B166" s="52" t="s">
        <v>50</v>
      </c>
      <c r="C166" s="53"/>
      <c r="D166" s="23">
        <f>42600</f>
        <v>42600</v>
      </c>
    </row>
    <row r="167" spans="1:4" s="3" customFormat="1" ht="33.950000000000003" customHeight="1" x14ac:dyDescent="0.3">
      <c r="A167" s="21" t="s">
        <v>177</v>
      </c>
      <c r="B167" s="52" t="s">
        <v>58</v>
      </c>
      <c r="C167" s="53"/>
      <c r="D167" s="23">
        <f>10200</f>
        <v>10200</v>
      </c>
    </row>
    <row r="168" spans="1:4" s="3" customFormat="1" ht="33.75" customHeight="1" x14ac:dyDescent="0.3">
      <c r="A168" s="21" t="s">
        <v>234</v>
      </c>
      <c r="B168" s="52" t="s">
        <v>66</v>
      </c>
      <c r="C168" s="53"/>
      <c r="D168" s="23">
        <f>7400</f>
        <v>7400</v>
      </c>
    </row>
    <row r="169" spans="1:4" s="3" customFormat="1" ht="33.950000000000003" customHeight="1" x14ac:dyDescent="0.3">
      <c r="A169" s="21" t="s">
        <v>235</v>
      </c>
      <c r="B169" s="52" t="s">
        <v>51</v>
      </c>
      <c r="C169" s="53"/>
      <c r="D169" s="23">
        <f>42700</f>
        <v>42700</v>
      </c>
    </row>
    <row r="170" spans="1:4" s="3" customFormat="1" ht="33.950000000000003" customHeight="1" x14ac:dyDescent="0.3">
      <c r="A170" s="21" t="s">
        <v>178</v>
      </c>
      <c r="B170" s="52" t="s">
        <v>13</v>
      </c>
      <c r="C170" s="53"/>
      <c r="D170" s="23">
        <f>30400</f>
        <v>30400</v>
      </c>
    </row>
    <row r="171" spans="1:4" s="3" customFormat="1" ht="33.950000000000003" customHeight="1" x14ac:dyDescent="0.3">
      <c r="A171" s="21" t="s">
        <v>236</v>
      </c>
      <c r="B171" s="52" t="s">
        <v>11</v>
      </c>
      <c r="C171" s="53"/>
      <c r="D171" s="23">
        <f>14000</f>
        <v>14000</v>
      </c>
    </row>
    <row r="172" spans="1:4" s="3" customFormat="1" ht="33.950000000000003" customHeight="1" x14ac:dyDescent="0.3">
      <c r="A172" s="21" t="s">
        <v>237</v>
      </c>
      <c r="B172" s="52" t="s">
        <v>238</v>
      </c>
      <c r="C172" s="53"/>
      <c r="D172" s="23">
        <f>13600</f>
        <v>13600</v>
      </c>
    </row>
    <row r="173" spans="1:4" s="3" customFormat="1" ht="33.75" customHeight="1" x14ac:dyDescent="0.3">
      <c r="A173" s="21" t="s">
        <v>179</v>
      </c>
      <c r="B173" s="52" t="s">
        <v>63</v>
      </c>
      <c r="C173" s="53"/>
      <c r="D173" s="23">
        <f>37500</f>
        <v>37500</v>
      </c>
    </row>
    <row r="174" spans="1:4" s="3" customFormat="1" ht="33.950000000000003" customHeight="1" x14ac:dyDescent="0.3">
      <c r="A174" s="21" t="s">
        <v>239</v>
      </c>
      <c r="B174" s="52" t="s">
        <v>64</v>
      </c>
      <c r="C174" s="53"/>
      <c r="D174" s="23">
        <f>32500</f>
        <v>32500</v>
      </c>
    </row>
    <row r="175" spans="1:4" s="3" customFormat="1" ht="51.75" customHeight="1" x14ac:dyDescent="0.3">
      <c r="A175" s="21"/>
      <c r="B175" s="54" t="s">
        <v>180</v>
      </c>
      <c r="C175" s="54"/>
      <c r="D175" s="22">
        <f>SUM(D176:D247)</f>
        <v>131344980</v>
      </c>
    </row>
    <row r="176" spans="1:4" s="3" customFormat="1" ht="33.950000000000003" customHeight="1" x14ac:dyDescent="0.3">
      <c r="A176" s="36" t="s">
        <v>183</v>
      </c>
      <c r="B176" s="50" t="s">
        <v>15</v>
      </c>
      <c r="C176" s="51"/>
      <c r="D176" s="23">
        <f>446760</f>
        <v>446760</v>
      </c>
    </row>
    <row r="177" spans="1:4" s="3" customFormat="1" ht="33.950000000000003" customHeight="1" x14ac:dyDescent="0.3">
      <c r="A177" s="36" t="s">
        <v>304</v>
      </c>
      <c r="B177" s="52" t="s">
        <v>17</v>
      </c>
      <c r="C177" s="53"/>
      <c r="D177" s="23">
        <f>45000000+45000000</f>
        <v>90000000</v>
      </c>
    </row>
    <row r="178" spans="1:4" s="3" customFormat="1" ht="33.950000000000003" customHeight="1" x14ac:dyDescent="0.3">
      <c r="A178" s="36" t="s">
        <v>185</v>
      </c>
      <c r="B178" s="52" t="s">
        <v>111</v>
      </c>
      <c r="C178" s="53"/>
      <c r="D178" s="23">
        <f>2000000</f>
        <v>2000000</v>
      </c>
    </row>
    <row r="179" spans="1:4" s="3" customFormat="1" ht="33.75" customHeight="1" x14ac:dyDescent="0.3">
      <c r="A179" s="36" t="s">
        <v>186</v>
      </c>
      <c r="B179" s="50" t="s">
        <v>22</v>
      </c>
      <c r="C179" s="51"/>
      <c r="D179" s="23">
        <f>400000</f>
        <v>400000</v>
      </c>
    </row>
    <row r="180" spans="1:4" s="3" customFormat="1" ht="37.5" customHeight="1" x14ac:dyDescent="0.3">
      <c r="A180" s="21" t="s">
        <v>187</v>
      </c>
      <c r="B180" s="52" t="s">
        <v>24</v>
      </c>
      <c r="C180" s="53"/>
      <c r="D180" s="23">
        <f>5730160</f>
        <v>5730160</v>
      </c>
    </row>
    <row r="181" spans="1:4" s="3" customFormat="1" ht="37.5" customHeight="1" x14ac:dyDescent="0.3">
      <c r="A181" s="21" t="s">
        <v>188</v>
      </c>
      <c r="B181" s="50" t="s">
        <v>25</v>
      </c>
      <c r="C181" s="51"/>
      <c r="D181" s="23">
        <f>788120</f>
        <v>788120</v>
      </c>
    </row>
    <row r="182" spans="1:4" s="3" customFormat="1" ht="33.75" customHeight="1" x14ac:dyDescent="0.3">
      <c r="A182" s="21" t="s">
        <v>189</v>
      </c>
      <c r="B182" s="50" t="s">
        <v>32</v>
      </c>
      <c r="C182" s="51"/>
      <c r="D182" s="23">
        <v>1242560</v>
      </c>
    </row>
    <row r="183" spans="1:4" s="3" customFormat="1" ht="33.950000000000003" customHeight="1" x14ac:dyDescent="0.3">
      <c r="A183" s="21" t="s">
        <v>190</v>
      </c>
      <c r="B183" s="50" t="s">
        <v>29</v>
      </c>
      <c r="C183" s="51"/>
      <c r="D183" s="23">
        <v>871920</v>
      </c>
    </row>
    <row r="184" spans="1:4" s="3" customFormat="1" ht="37.5" customHeight="1" x14ac:dyDescent="0.3">
      <c r="A184" s="21" t="s">
        <v>191</v>
      </c>
      <c r="B184" s="50" t="s">
        <v>30</v>
      </c>
      <c r="C184" s="51"/>
      <c r="D184" s="23">
        <f>456520</f>
        <v>456520</v>
      </c>
    </row>
    <row r="185" spans="1:4" s="3" customFormat="1" ht="33.75" customHeight="1" x14ac:dyDescent="0.3">
      <c r="A185" s="36" t="s">
        <v>192</v>
      </c>
      <c r="B185" s="50" t="s">
        <v>33</v>
      </c>
      <c r="C185" s="51"/>
      <c r="D185" s="23">
        <v>400000</v>
      </c>
    </row>
    <row r="186" spans="1:4" s="3" customFormat="1" ht="33.950000000000003" customHeight="1" x14ac:dyDescent="0.3">
      <c r="A186" s="21" t="s">
        <v>193</v>
      </c>
      <c r="B186" s="50" t="s">
        <v>34</v>
      </c>
      <c r="C186" s="51"/>
      <c r="D186" s="23">
        <f>1013800</f>
        <v>1013800</v>
      </c>
    </row>
    <row r="187" spans="1:4" s="3" customFormat="1" ht="33.950000000000003" customHeight="1" x14ac:dyDescent="0.3">
      <c r="A187" s="21" t="s">
        <v>194</v>
      </c>
      <c r="B187" s="50" t="s">
        <v>35</v>
      </c>
      <c r="C187" s="51"/>
      <c r="D187" s="23">
        <v>430640</v>
      </c>
    </row>
    <row r="188" spans="1:4" s="3" customFormat="1" ht="33.950000000000003" customHeight="1" x14ac:dyDescent="0.3">
      <c r="A188" s="21" t="s">
        <v>195</v>
      </c>
      <c r="B188" s="50" t="s">
        <v>14</v>
      </c>
      <c r="C188" s="51"/>
      <c r="D188" s="23">
        <v>137800</v>
      </c>
    </row>
    <row r="189" spans="1:4" s="3" customFormat="1" ht="33.75" customHeight="1" x14ac:dyDescent="0.3">
      <c r="A189" s="21" t="s">
        <v>158</v>
      </c>
      <c r="B189" s="50" t="s">
        <v>155</v>
      </c>
      <c r="C189" s="51"/>
      <c r="D189" s="23">
        <v>166640</v>
      </c>
    </row>
    <row r="190" spans="1:4" s="3" customFormat="1" ht="33.75" customHeight="1" x14ac:dyDescent="0.3">
      <c r="A190" s="21" t="s">
        <v>196</v>
      </c>
      <c r="B190" s="50" t="s">
        <v>44</v>
      </c>
      <c r="C190" s="51"/>
      <c r="D190" s="23">
        <f>584800</f>
        <v>584800</v>
      </c>
    </row>
    <row r="191" spans="1:4" s="3" customFormat="1" ht="33.950000000000003" customHeight="1" x14ac:dyDescent="0.3">
      <c r="A191" s="36" t="s">
        <v>159</v>
      </c>
      <c r="B191" s="50" t="s">
        <v>36</v>
      </c>
      <c r="C191" s="51"/>
      <c r="D191" s="23">
        <f>616520</f>
        <v>616520</v>
      </c>
    </row>
    <row r="192" spans="1:4" s="3" customFormat="1" ht="33.75" customHeight="1" x14ac:dyDescent="0.3">
      <c r="A192" s="36" t="s">
        <v>197</v>
      </c>
      <c r="B192" s="50" t="s">
        <v>101</v>
      </c>
      <c r="C192" s="51"/>
      <c r="D192" s="23">
        <v>400000</v>
      </c>
    </row>
    <row r="193" spans="1:4" s="3" customFormat="1" ht="33.75" customHeight="1" x14ac:dyDescent="0.3">
      <c r="A193" s="36" t="s">
        <v>105</v>
      </c>
      <c r="B193" s="50" t="s">
        <v>55</v>
      </c>
      <c r="C193" s="51"/>
      <c r="D193" s="23">
        <f>1020100</f>
        <v>1020100</v>
      </c>
    </row>
    <row r="194" spans="1:4" s="3" customFormat="1" ht="33.950000000000003" customHeight="1" x14ac:dyDescent="0.3">
      <c r="A194" s="36" t="s">
        <v>160</v>
      </c>
      <c r="B194" s="50" t="s">
        <v>45</v>
      </c>
      <c r="C194" s="51"/>
      <c r="D194" s="23">
        <f>130760</f>
        <v>130760</v>
      </c>
    </row>
    <row r="195" spans="1:4" s="3" customFormat="1" ht="33.950000000000003" customHeight="1" x14ac:dyDescent="0.3">
      <c r="A195" s="36" t="s">
        <v>161</v>
      </c>
      <c r="B195" s="50" t="s">
        <v>7</v>
      </c>
      <c r="C195" s="51"/>
      <c r="D195" s="23">
        <f>761160</f>
        <v>761160</v>
      </c>
    </row>
    <row r="196" spans="1:4" s="3" customFormat="1" ht="33.950000000000003" customHeight="1" x14ac:dyDescent="0.3">
      <c r="A196" s="36" t="s">
        <v>162</v>
      </c>
      <c r="B196" s="50" t="s">
        <v>53</v>
      </c>
      <c r="C196" s="51"/>
      <c r="D196" s="23">
        <v>392600</v>
      </c>
    </row>
    <row r="197" spans="1:4" s="3" customFormat="1" ht="33.75" customHeight="1" x14ac:dyDescent="0.3">
      <c r="A197" s="36" t="s">
        <v>199</v>
      </c>
      <c r="B197" s="50" t="s">
        <v>16</v>
      </c>
      <c r="C197" s="51"/>
      <c r="D197" s="23">
        <f>704360</f>
        <v>704360</v>
      </c>
    </row>
    <row r="198" spans="1:4" s="3" customFormat="1" ht="33.950000000000003" customHeight="1" x14ac:dyDescent="0.3">
      <c r="A198" s="36" t="s">
        <v>163</v>
      </c>
      <c r="B198" s="50" t="s">
        <v>68</v>
      </c>
      <c r="C198" s="51"/>
      <c r="D198" s="23">
        <v>199500</v>
      </c>
    </row>
    <row r="199" spans="1:4" s="3" customFormat="1" ht="33.75" customHeight="1" x14ac:dyDescent="0.3">
      <c r="A199" s="36" t="s">
        <v>200</v>
      </c>
      <c r="B199" s="50" t="s">
        <v>6</v>
      </c>
      <c r="C199" s="51"/>
      <c r="D199" s="23">
        <f>341900</f>
        <v>341900</v>
      </c>
    </row>
    <row r="200" spans="1:4" s="3" customFormat="1" ht="33.75" customHeight="1" x14ac:dyDescent="0.3">
      <c r="A200" s="36" t="s">
        <v>164</v>
      </c>
      <c r="B200" s="50" t="s">
        <v>165</v>
      </c>
      <c r="C200" s="51"/>
      <c r="D200" s="23">
        <f>158320</f>
        <v>158320</v>
      </c>
    </row>
    <row r="201" spans="1:4" s="3" customFormat="1" ht="33.950000000000003" customHeight="1" x14ac:dyDescent="0.3">
      <c r="A201" s="36" t="s">
        <v>201</v>
      </c>
      <c r="B201" s="50" t="s">
        <v>8</v>
      </c>
      <c r="C201" s="51"/>
      <c r="D201" s="23">
        <f>165520</f>
        <v>165520</v>
      </c>
    </row>
    <row r="202" spans="1:4" s="3" customFormat="1" ht="33.950000000000003" customHeight="1" x14ac:dyDescent="0.3">
      <c r="A202" s="36" t="s">
        <v>202</v>
      </c>
      <c r="B202" s="50" t="s">
        <v>61</v>
      </c>
      <c r="C202" s="51"/>
      <c r="D202" s="23">
        <v>345880</v>
      </c>
    </row>
    <row r="203" spans="1:4" s="3" customFormat="1" ht="33.950000000000003" customHeight="1" x14ac:dyDescent="0.3">
      <c r="A203" s="36" t="s">
        <v>167</v>
      </c>
      <c r="B203" s="50" t="s">
        <v>62</v>
      </c>
      <c r="C203" s="51"/>
      <c r="D203" s="23">
        <v>388280</v>
      </c>
    </row>
    <row r="204" spans="1:4" s="3" customFormat="1" ht="33.950000000000003" customHeight="1" x14ac:dyDescent="0.3">
      <c r="A204" s="36" t="s">
        <v>203</v>
      </c>
      <c r="B204" s="50" t="s">
        <v>204</v>
      </c>
      <c r="C204" s="51"/>
      <c r="D204" s="23">
        <v>101520</v>
      </c>
    </row>
    <row r="205" spans="1:4" s="3" customFormat="1" ht="33.75" customHeight="1" x14ac:dyDescent="0.3">
      <c r="A205" s="36" t="s">
        <v>205</v>
      </c>
      <c r="B205" s="50" t="s">
        <v>46</v>
      </c>
      <c r="C205" s="51"/>
      <c r="D205" s="23">
        <f>280000+80000</f>
        <v>360000</v>
      </c>
    </row>
    <row r="206" spans="1:4" s="3" customFormat="1" ht="36.75" customHeight="1" x14ac:dyDescent="0.3">
      <c r="A206" s="36" t="s">
        <v>181</v>
      </c>
      <c r="B206" s="50" t="s">
        <v>182</v>
      </c>
      <c r="C206" s="51"/>
      <c r="D206" s="23">
        <f>100000+80320</f>
        <v>180320</v>
      </c>
    </row>
    <row r="207" spans="1:4" s="3" customFormat="1" ht="33.950000000000003" customHeight="1" x14ac:dyDescent="0.3">
      <c r="A207" s="36" t="s">
        <v>168</v>
      </c>
      <c r="B207" s="50" t="s">
        <v>69</v>
      </c>
      <c r="C207" s="51"/>
      <c r="D207" s="23">
        <f>261880</f>
        <v>261880</v>
      </c>
    </row>
    <row r="208" spans="1:4" s="3" customFormat="1" ht="33.950000000000003" customHeight="1" x14ac:dyDescent="0.3">
      <c r="A208" s="36" t="s">
        <v>169</v>
      </c>
      <c r="B208" s="50" t="s">
        <v>20</v>
      </c>
      <c r="C208" s="51"/>
      <c r="D208" s="23">
        <f>517640</f>
        <v>517640</v>
      </c>
    </row>
    <row r="209" spans="1:4" s="3" customFormat="1" ht="33.950000000000003" customHeight="1" x14ac:dyDescent="0.3">
      <c r="A209" s="36" t="s">
        <v>206</v>
      </c>
      <c r="B209" s="50" t="s">
        <v>65</v>
      </c>
      <c r="C209" s="51"/>
      <c r="D209" s="23">
        <f>137000</f>
        <v>137000</v>
      </c>
    </row>
    <row r="210" spans="1:4" s="3" customFormat="1" ht="36.75" customHeight="1" x14ac:dyDescent="0.3">
      <c r="A210" s="21" t="s">
        <v>207</v>
      </c>
      <c r="B210" s="52" t="s">
        <v>208</v>
      </c>
      <c r="C210" s="53"/>
      <c r="D210" s="23">
        <v>56520</v>
      </c>
    </row>
    <row r="211" spans="1:4" s="3" customFormat="1" ht="33.75" customHeight="1" x14ac:dyDescent="0.3">
      <c r="A211" s="21" t="s">
        <v>209</v>
      </c>
      <c r="B211" s="52" t="s">
        <v>9</v>
      </c>
      <c r="C211" s="53"/>
      <c r="D211" s="23">
        <f>820080</f>
        <v>820080</v>
      </c>
    </row>
    <row r="212" spans="1:4" s="3" customFormat="1" ht="33.950000000000003" customHeight="1" x14ac:dyDescent="0.3">
      <c r="A212" s="21" t="s">
        <v>210</v>
      </c>
      <c r="B212" s="52" t="s">
        <v>73</v>
      </c>
      <c r="C212" s="53"/>
      <c r="D212" s="23">
        <v>203300</v>
      </c>
    </row>
    <row r="213" spans="1:4" s="3" customFormat="1" ht="33.950000000000003" customHeight="1" x14ac:dyDescent="0.3">
      <c r="A213" s="21" t="s">
        <v>170</v>
      </c>
      <c r="B213" s="52" t="s">
        <v>88</v>
      </c>
      <c r="C213" s="53"/>
      <c r="D213" s="23">
        <f>248360</f>
        <v>248360</v>
      </c>
    </row>
    <row r="214" spans="1:4" s="3" customFormat="1" ht="33.950000000000003" customHeight="1" x14ac:dyDescent="0.3">
      <c r="A214" s="21" t="s">
        <v>211</v>
      </c>
      <c r="B214" s="52" t="s">
        <v>87</v>
      </c>
      <c r="C214" s="53"/>
      <c r="D214" s="23">
        <v>471960</v>
      </c>
    </row>
    <row r="215" spans="1:4" s="3" customFormat="1" ht="33.75" customHeight="1" x14ac:dyDescent="0.3">
      <c r="A215" s="21" t="s">
        <v>212</v>
      </c>
      <c r="B215" s="52" t="s">
        <v>39</v>
      </c>
      <c r="C215" s="53"/>
      <c r="D215" s="23">
        <v>198840</v>
      </c>
    </row>
    <row r="216" spans="1:4" s="3" customFormat="1" ht="33.950000000000003" customHeight="1" x14ac:dyDescent="0.3">
      <c r="A216" s="21" t="s">
        <v>213</v>
      </c>
      <c r="B216" s="52" t="s">
        <v>214</v>
      </c>
      <c r="C216" s="53"/>
      <c r="D216" s="23">
        <f>101800</f>
        <v>101800</v>
      </c>
    </row>
    <row r="217" spans="1:4" s="3" customFormat="1" ht="33.950000000000003" customHeight="1" x14ac:dyDescent="0.3">
      <c r="A217" s="36" t="s">
        <v>215</v>
      </c>
      <c r="B217" s="50" t="s">
        <v>156</v>
      </c>
      <c r="C217" s="51"/>
      <c r="D217" s="23">
        <v>520900</v>
      </c>
    </row>
    <row r="218" spans="1:4" s="3" customFormat="1" ht="33.950000000000003" customHeight="1" x14ac:dyDescent="0.3">
      <c r="A218" s="21" t="s">
        <v>174</v>
      </c>
      <c r="B218" s="52" t="s">
        <v>74</v>
      </c>
      <c r="C218" s="53"/>
      <c r="D218" s="23">
        <f>904600</f>
        <v>904600</v>
      </c>
    </row>
    <row r="219" spans="1:4" s="3" customFormat="1" ht="33.75" customHeight="1" x14ac:dyDescent="0.3">
      <c r="A219" s="21" t="s">
        <v>173</v>
      </c>
      <c r="B219" s="52" t="s">
        <v>23</v>
      </c>
      <c r="C219" s="53"/>
      <c r="D219" s="23">
        <f>462960</f>
        <v>462960</v>
      </c>
    </row>
    <row r="220" spans="1:4" s="3" customFormat="1" ht="33.75" customHeight="1" x14ac:dyDescent="0.3">
      <c r="A220" s="21" t="s">
        <v>216</v>
      </c>
      <c r="B220" s="52" t="s">
        <v>40</v>
      </c>
      <c r="C220" s="53"/>
      <c r="D220" s="23">
        <v>222760</v>
      </c>
    </row>
    <row r="221" spans="1:4" s="3" customFormat="1" ht="33.75" customHeight="1" x14ac:dyDescent="0.3">
      <c r="A221" s="21" t="s">
        <v>217</v>
      </c>
      <c r="B221" s="52" t="s">
        <v>10</v>
      </c>
      <c r="C221" s="53"/>
      <c r="D221" s="23">
        <f>397240</f>
        <v>397240</v>
      </c>
    </row>
    <row r="222" spans="1:4" s="3" customFormat="1" ht="33.950000000000003" customHeight="1" x14ac:dyDescent="0.3">
      <c r="A222" s="21" t="s">
        <v>218</v>
      </c>
      <c r="B222" s="52" t="s">
        <v>70</v>
      </c>
      <c r="C222" s="53"/>
      <c r="D222" s="23">
        <f>538640</f>
        <v>538640</v>
      </c>
    </row>
    <row r="223" spans="1:4" s="3" customFormat="1" ht="33.950000000000003" customHeight="1" x14ac:dyDescent="0.3">
      <c r="A223" s="21" t="s">
        <v>219</v>
      </c>
      <c r="B223" s="52" t="s">
        <v>72</v>
      </c>
      <c r="C223" s="53"/>
      <c r="D223" s="23">
        <v>686520</v>
      </c>
    </row>
    <row r="224" spans="1:4" s="3" customFormat="1" ht="33.75" customHeight="1" x14ac:dyDescent="0.3">
      <c r="A224" s="21" t="s">
        <v>220</v>
      </c>
      <c r="B224" s="52" t="s">
        <v>59</v>
      </c>
      <c r="C224" s="53"/>
      <c r="D224" s="23">
        <v>1181920</v>
      </c>
    </row>
    <row r="225" spans="1:4" s="3" customFormat="1" ht="33.950000000000003" customHeight="1" x14ac:dyDescent="0.3">
      <c r="A225" s="21" t="s">
        <v>221</v>
      </c>
      <c r="B225" s="52" t="s">
        <v>26</v>
      </c>
      <c r="C225" s="53"/>
      <c r="D225" s="23">
        <v>386400</v>
      </c>
    </row>
    <row r="226" spans="1:4" s="3" customFormat="1" ht="33.950000000000003" customHeight="1" x14ac:dyDescent="0.3">
      <c r="A226" s="21" t="s">
        <v>175</v>
      </c>
      <c r="B226" s="52" t="s">
        <v>12</v>
      </c>
      <c r="C226" s="53"/>
      <c r="D226" s="23">
        <v>1009600</v>
      </c>
    </row>
    <row r="227" spans="1:4" s="3" customFormat="1" ht="33.950000000000003" customHeight="1" x14ac:dyDescent="0.3">
      <c r="A227" s="21" t="s">
        <v>222</v>
      </c>
      <c r="B227" s="52" t="s">
        <v>71</v>
      </c>
      <c r="C227" s="53"/>
      <c r="D227" s="23">
        <v>806000</v>
      </c>
    </row>
    <row r="228" spans="1:4" s="3" customFormat="1" ht="33.75" customHeight="1" x14ac:dyDescent="0.3">
      <c r="A228" s="21" t="s">
        <v>223</v>
      </c>
      <c r="B228" s="52" t="s">
        <v>28</v>
      </c>
      <c r="C228" s="53"/>
      <c r="D228" s="23">
        <f>340000</f>
        <v>340000</v>
      </c>
    </row>
    <row r="229" spans="1:4" s="3" customFormat="1" ht="33.950000000000003" customHeight="1" x14ac:dyDescent="0.3">
      <c r="A229" s="21" t="s">
        <v>261</v>
      </c>
      <c r="B229" s="52" t="s">
        <v>60</v>
      </c>
      <c r="C229" s="53"/>
      <c r="D229" s="23">
        <f>359440</f>
        <v>359440</v>
      </c>
    </row>
    <row r="230" spans="1:4" s="3" customFormat="1" ht="33.950000000000003" customHeight="1" x14ac:dyDescent="0.3">
      <c r="A230" s="21" t="s">
        <v>224</v>
      </c>
      <c r="B230" s="52" t="s">
        <v>48</v>
      </c>
      <c r="C230" s="53"/>
      <c r="D230" s="23">
        <f>78480</f>
        <v>78480</v>
      </c>
    </row>
    <row r="231" spans="1:4" s="3" customFormat="1" ht="33.75" customHeight="1" x14ac:dyDescent="0.3">
      <c r="A231" s="21" t="s">
        <v>225</v>
      </c>
      <c r="B231" s="52" t="s">
        <v>67</v>
      </c>
      <c r="C231" s="53"/>
      <c r="D231" s="23">
        <v>221000</v>
      </c>
    </row>
    <row r="232" spans="1:4" s="3" customFormat="1" ht="33.950000000000003" customHeight="1" x14ac:dyDescent="0.3">
      <c r="A232" s="21" t="s">
        <v>226</v>
      </c>
      <c r="B232" s="52" t="s">
        <v>227</v>
      </c>
      <c r="C232" s="53"/>
      <c r="D232" s="23">
        <f>190080</f>
        <v>190080</v>
      </c>
    </row>
    <row r="233" spans="1:4" s="3" customFormat="1" ht="33.75" customHeight="1" x14ac:dyDescent="0.3">
      <c r="A233" s="21" t="s">
        <v>273</v>
      </c>
      <c r="B233" s="52" t="s">
        <v>272</v>
      </c>
      <c r="C233" s="53"/>
      <c r="D233" s="23">
        <f>196960</f>
        <v>196960</v>
      </c>
    </row>
    <row r="234" spans="1:4" s="3" customFormat="1" ht="33.950000000000003" customHeight="1" x14ac:dyDescent="0.3">
      <c r="A234" s="21" t="s">
        <v>228</v>
      </c>
      <c r="B234" s="52" t="s">
        <v>42</v>
      </c>
      <c r="C234" s="53"/>
      <c r="D234" s="23">
        <v>3062920</v>
      </c>
    </row>
    <row r="235" spans="1:4" s="3" customFormat="1" ht="33.950000000000003" customHeight="1" x14ac:dyDescent="0.3">
      <c r="A235" s="21" t="s">
        <v>229</v>
      </c>
      <c r="B235" s="52" t="s">
        <v>110</v>
      </c>
      <c r="C235" s="53"/>
      <c r="D235" s="23">
        <f>120440</f>
        <v>120440</v>
      </c>
    </row>
    <row r="236" spans="1:4" s="3" customFormat="1" ht="33.75" customHeight="1" x14ac:dyDescent="0.3">
      <c r="A236" s="21" t="s">
        <v>176</v>
      </c>
      <c r="B236" s="52" t="s">
        <v>41</v>
      </c>
      <c r="C236" s="53"/>
      <c r="D236" s="23">
        <f>805600</f>
        <v>805600</v>
      </c>
    </row>
    <row r="237" spans="1:4" s="3" customFormat="1" ht="33.950000000000003" customHeight="1" x14ac:dyDescent="0.3">
      <c r="A237" s="21" t="s">
        <v>230</v>
      </c>
      <c r="B237" s="52" t="s">
        <v>49</v>
      </c>
      <c r="C237" s="53"/>
      <c r="D237" s="23">
        <f>200000</f>
        <v>200000</v>
      </c>
    </row>
    <row r="238" spans="1:4" s="3" customFormat="1" ht="33.950000000000003" customHeight="1" x14ac:dyDescent="0.3">
      <c r="A238" s="21" t="s">
        <v>231</v>
      </c>
      <c r="B238" s="52" t="s">
        <v>232</v>
      </c>
      <c r="C238" s="53"/>
      <c r="D238" s="23">
        <f>147520</f>
        <v>147520</v>
      </c>
    </row>
    <row r="239" spans="1:4" s="3" customFormat="1" ht="33.75" customHeight="1" x14ac:dyDescent="0.3">
      <c r="A239" s="21" t="s">
        <v>233</v>
      </c>
      <c r="B239" s="52" t="s">
        <v>50</v>
      </c>
      <c r="C239" s="53"/>
      <c r="D239" s="23">
        <f>458640</f>
        <v>458640</v>
      </c>
    </row>
    <row r="240" spans="1:4" s="3" customFormat="1" ht="33.950000000000003" customHeight="1" x14ac:dyDescent="0.3">
      <c r="A240" s="21" t="s">
        <v>177</v>
      </c>
      <c r="B240" s="52" t="s">
        <v>58</v>
      </c>
      <c r="C240" s="53"/>
      <c r="D240" s="23">
        <f>423040</f>
        <v>423040</v>
      </c>
    </row>
    <row r="241" spans="1:4" s="3" customFormat="1" ht="33.950000000000003" customHeight="1" x14ac:dyDescent="0.3">
      <c r="A241" s="21" t="s">
        <v>234</v>
      </c>
      <c r="B241" s="52" t="s">
        <v>66</v>
      </c>
      <c r="C241" s="53"/>
      <c r="D241" s="23">
        <v>155440</v>
      </c>
    </row>
    <row r="242" spans="1:4" s="3" customFormat="1" ht="33.75" customHeight="1" x14ac:dyDescent="0.3">
      <c r="A242" s="21" t="s">
        <v>235</v>
      </c>
      <c r="B242" s="52" t="s">
        <v>51</v>
      </c>
      <c r="C242" s="53"/>
      <c r="D242" s="23">
        <v>443360</v>
      </c>
    </row>
    <row r="243" spans="1:4" s="3" customFormat="1" ht="33.75" customHeight="1" x14ac:dyDescent="0.3">
      <c r="A243" s="21" t="s">
        <v>178</v>
      </c>
      <c r="B243" s="52" t="s">
        <v>13</v>
      </c>
      <c r="C243" s="53"/>
      <c r="D243" s="23">
        <f>1400000+800000</f>
        <v>2200000</v>
      </c>
    </row>
    <row r="244" spans="1:4" s="3" customFormat="1" ht="33.75" customHeight="1" x14ac:dyDescent="0.3">
      <c r="A244" s="21" t="s">
        <v>236</v>
      </c>
      <c r="B244" s="52" t="s">
        <v>11</v>
      </c>
      <c r="C244" s="53"/>
      <c r="D244" s="23">
        <v>180240</v>
      </c>
    </row>
    <row r="245" spans="1:4" s="3" customFormat="1" ht="33.950000000000003" customHeight="1" x14ac:dyDescent="0.3">
      <c r="A245" s="21" t="s">
        <v>237</v>
      </c>
      <c r="B245" s="52" t="s">
        <v>238</v>
      </c>
      <c r="C245" s="53"/>
      <c r="D245" s="23">
        <v>227520</v>
      </c>
    </row>
    <row r="246" spans="1:4" s="3" customFormat="1" ht="33.75" customHeight="1" x14ac:dyDescent="0.3">
      <c r="A246" s="21" t="s">
        <v>179</v>
      </c>
      <c r="B246" s="52" t="s">
        <v>63</v>
      </c>
      <c r="C246" s="53"/>
      <c r="D246" s="23">
        <v>80000</v>
      </c>
    </row>
    <row r="247" spans="1:4" s="3" customFormat="1" ht="33.950000000000003" customHeight="1" x14ac:dyDescent="0.3">
      <c r="A247" s="21" t="s">
        <v>239</v>
      </c>
      <c r="B247" s="52" t="s">
        <v>64</v>
      </c>
      <c r="C247" s="53"/>
      <c r="D247" s="23">
        <v>382920</v>
      </c>
    </row>
    <row r="248" spans="1:4" s="3" customFormat="1" ht="48.75" customHeight="1" x14ac:dyDescent="0.3">
      <c r="A248" s="21"/>
      <c r="B248" s="54" t="s">
        <v>246</v>
      </c>
      <c r="C248" s="54"/>
      <c r="D248" s="22">
        <f>D249</f>
        <v>285990</v>
      </c>
    </row>
    <row r="249" spans="1:4" s="3" customFormat="1" ht="33.950000000000003" customHeight="1" x14ac:dyDescent="0.3">
      <c r="A249" s="36" t="s">
        <v>215</v>
      </c>
      <c r="B249" s="50" t="s">
        <v>156</v>
      </c>
      <c r="C249" s="51"/>
      <c r="D249" s="23">
        <f>544766-258776</f>
        <v>285990</v>
      </c>
    </row>
    <row r="250" spans="1:4" s="3" customFormat="1" ht="36.75" customHeight="1" x14ac:dyDescent="0.3">
      <c r="A250" s="21"/>
      <c r="B250" s="54" t="s">
        <v>308</v>
      </c>
      <c r="C250" s="54"/>
      <c r="D250" s="22">
        <f>D251</f>
        <v>214835</v>
      </c>
    </row>
    <row r="251" spans="1:4" s="3" customFormat="1" ht="33.950000000000003" customHeight="1" x14ac:dyDescent="0.3">
      <c r="A251" s="36" t="s">
        <v>215</v>
      </c>
      <c r="B251" s="50" t="s">
        <v>156</v>
      </c>
      <c r="C251" s="51"/>
      <c r="D251" s="23">
        <f>214835</f>
        <v>214835</v>
      </c>
    </row>
    <row r="252" spans="1:4" s="3" customFormat="1" ht="47.25" customHeight="1" x14ac:dyDescent="0.3">
      <c r="A252" s="21"/>
      <c r="B252" s="54" t="s">
        <v>277</v>
      </c>
      <c r="C252" s="54"/>
      <c r="D252" s="22">
        <f>D253</f>
        <v>990000</v>
      </c>
    </row>
    <row r="253" spans="1:4" s="3" customFormat="1" ht="33.75" customHeight="1" x14ac:dyDescent="0.3">
      <c r="A253" s="36" t="s">
        <v>114</v>
      </c>
      <c r="B253" s="50" t="s">
        <v>19</v>
      </c>
      <c r="C253" s="51"/>
      <c r="D253" s="23">
        <f>990000</f>
        <v>990000</v>
      </c>
    </row>
    <row r="254" spans="1:4" s="3" customFormat="1" ht="41.25" customHeight="1" x14ac:dyDescent="0.3">
      <c r="A254" s="21"/>
      <c r="B254" s="54" t="s">
        <v>278</v>
      </c>
      <c r="C254" s="54"/>
      <c r="D254" s="22">
        <f>D255</f>
        <v>300000</v>
      </c>
    </row>
    <row r="255" spans="1:4" s="3" customFormat="1" ht="33.75" customHeight="1" x14ac:dyDescent="0.3">
      <c r="A255" s="21" t="s">
        <v>196</v>
      </c>
      <c r="B255" s="50" t="s">
        <v>44</v>
      </c>
      <c r="C255" s="51"/>
      <c r="D255" s="23">
        <f>300000</f>
        <v>300000</v>
      </c>
    </row>
    <row r="256" spans="1:4" s="3" customFormat="1" ht="50.25" customHeight="1" x14ac:dyDescent="0.3">
      <c r="A256" s="21"/>
      <c r="B256" s="54" t="s">
        <v>322</v>
      </c>
      <c r="C256" s="54"/>
      <c r="D256" s="22">
        <f>D257</f>
        <v>1800000</v>
      </c>
    </row>
    <row r="257" spans="1:4" s="3" customFormat="1" ht="33.75" customHeight="1" x14ac:dyDescent="0.3">
      <c r="A257" s="21" t="s">
        <v>235</v>
      </c>
      <c r="B257" s="52" t="s">
        <v>51</v>
      </c>
      <c r="C257" s="53"/>
      <c r="D257" s="23">
        <f>600000+300000+900000</f>
        <v>1800000</v>
      </c>
    </row>
    <row r="258" spans="1:4" s="3" customFormat="1" ht="80.25" customHeight="1" x14ac:dyDescent="0.3">
      <c r="A258" s="21"/>
      <c r="B258" s="54" t="s">
        <v>302</v>
      </c>
      <c r="C258" s="54"/>
      <c r="D258" s="22">
        <f>D259</f>
        <v>102000</v>
      </c>
    </row>
    <row r="259" spans="1:4" s="3" customFormat="1" ht="33.75" customHeight="1" x14ac:dyDescent="0.3">
      <c r="A259" s="21" t="s">
        <v>212</v>
      </c>
      <c r="B259" s="52" t="s">
        <v>39</v>
      </c>
      <c r="C259" s="53"/>
      <c r="D259" s="23">
        <f>102000</f>
        <v>102000</v>
      </c>
    </row>
    <row r="260" spans="1:4" s="3" customFormat="1" ht="33.75" customHeight="1" x14ac:dyDescent="0.3">
      <c r="A260" s="21"/>
      <c r="B260" s="54" t="s">
        <v>316</v>
      </c>
      <c r="C260" s="54"/>
      <c r="D260" s="22">
        <f>D261</f>
        <v>85000</v>
      </c>
    </row>
    <row r="261" spans="1:4" s="3" customFormat="1" ht="33.950000000000003" customHeight="1" x14ac:dyDescent="0.3">
      <c r="A261" s="21" t="s">
        <v>261</v>
      </c>
      <c r="B261" s="52" t="s">
        <v>60</v>
      </c>
      <c r="C261" s="53"/>
      <c r="D261" s="23">
        <f>85000</f>
        <v>85000</v>
      </c>
    </row>
    <row r="262" spans="1:4" s="3" customFormat="1" ht="37.5" customHeight="1" x14ac:dyDescent="0.3">
      <c r="A262" s="57" t="s">
        <v>132</v>
      </c>
      <c r="B262" s="58"/>
      <c r="C262" s="58"/>
      <c r="D262" s="59"/>
    </row>
    <row r="263" spans="1:4" s="3" customFormat="1" ht="49.5" customHeight="1" x14ac:dyDescent="0.3">
      <c r="A263" s="37">
        <v>41031400</v>
      </c>
      <c r="B263" s="55" t="s">
        <v>268</v>
      </c>
      <c r="C263" s="56"/>
      <c r="D263" s="22">
        <f>D264</f>
        <v>11907623</v>
      </c>
    </row>
    <row r="264" spans="1:4" s="3" customFormat="1" ht="31.5" customHeight="1" x14ac:dyDescent="0.3">
      <c r="A264" s="35">
        <v>9900000000</v>
      </c>
      <c r="B264" s="50" t="s">
        <v>1</v>
      </c>
      <c r="C264" s="51"/>
      <c r="D264" s="23">
        <f>12563252-655629</f>
        <v>11907623</v>
      </c>
    </row>
    <row r="265" spans="1:4" s="3" customFormat="1" ht="49.5" customHeight="1" x14ac:dyDescent="0.3">
      <c r="A265" s="37">
        <v>41033100</v>
      </c>
      <c r="B265" s="55" t="s">
        <v>267</v>
      </c>
      <c r="C265" s="56"/>
      <c r="D265" s="22">
        <f>D266</f>
        <v>129500000</v>
      </c>
    </row>
    <row r="266" spans="1:4" s="3" customFormat="1" ht="31.5" customHeight="1" x14ac:dyDescent="0.3">
      <c r="A266" s="35">
        <v>9900000000</v>
      </c>
      <c r="B266" s="50" t="s">
        <v>1</v>
      </c>
      <c r="C266" s="51"/>
      <c r="D266" s="23">
        <f>160000000-30500000</f>
        <v>129500000</v>
      </c>
    </row>
    <row r="267" spans="1:4" s="3" customFormat="1" ht="40.5" customHeight="1" x14ac:dyDescent="0.3">
      <c r="A267" s="37">
        <v>41033900</v>
      </c>
      <c r="B267" s="54" t="s">
        <v>149</v>
      </c>
      <c r="C267" s="54"/>
      <c r="D267" s="22">
        <f>D268</f>
        <v>25052000</v>
      </c>
    </row>
    <row r="268" spans="1:4" s="3" customFormat="1" ht="33" customHeight="1" x14ac:dyDescent="0.3">
      <c r="A268" s="35">
        <v>9900000000</v>
      </c>
      <c r="B268" s="50" t="s">
        <v>1</v>
      </c>
      <c r="C268" s="51"/>
      <c r="D268" s="23">
        <f>16025000+3608000+5419000</f>
        <v>25052000</v>
      </c>
    </row>
    <row r="269" spans="1:4" s="3" customFormat="1" ht="79.5" customHeight="1" x14ac:dyDescent="0.3">
      <c r="A269" s="37">
        <v>41037400</v>
      </c>
      <c r="B269" s="54" t="s">
        <v>305</v>
      </c>
      <c r="C269" s="54"/>
      <c r="D269" s="22">
        <f>D270</f>
        <v>849300</v>
      </c>
    </row>
    <row r="270" spans="1:4" s="3" customFormat="1" ht="33" customHeight="1" x14ac:dyDescent="0.3">
      <c r="A270" s="35">
        <v>9900000000</v>
      </c>
      <c r="B270" s="50" t="s">
        <v>1</v>
      </c>
      <c r="C270" s="51"/>
      <c r="D270" s="23">
        <f>424600+424700</f>
        <v>849300</v>
      </c>
    </row>
    <row r="271" spans="1:4" s="3" customFormat="1" ht="33" customHeight="1" x14ac:dyDescent="0.3">
      <c r="A271" s="37">
        <v>41053900</v>
      </c>
      <c r="B271" s="55" t="s">
        <v>102</v>
      </c>
      <c r="C271" s="56"/>
      <c r="D271" s="22">
        <f>D273+D275+D347+D352+D387+D380+D389</f>
        <v>96301820</v>
      </c>
    </row>
    <row r="272" spans="1:4" s="3" customFormat="1" ht="33" customHeight="1" x14ac:dyDescent="0.3">
      <c r="A272" s="35"/>
      <c r="B272" s="50" t="s">
        <v>103</v>
      </c>
      <c r="C272" s="51"/>
      <c r="D272" s="23"/>
    </row>
    <row r="273" spans="1:4" s="3" customFormat="1" ht="33.75" customHeight="1" x14ac:dyDescent="0.3">
      <c r="A273" s="35"/>
      <c r="B273" s="55" t="s">
        <v>113</v>
      </c>
      <c r="C273" s="56"/>
      <c r="D273" s="22">
        <f>D274</f>
        <v>6400000</v>
      </c>
    </row>
    <row r="274" spans="1:4" s="3" customFormat="1" ht="33.75" customHeight="1" x14ac:dyDescent="0.3">
      <c r="A274" s="36" t="s">
        <v>114</v>
      </c>
      <c r="B274" s="50" t="s">
        <v>19</v>
      </c>
      <c r="C274" s="51"/>
      <c r="D274" s="23">
        <f>6400000</f>
        <v>6400000</v>
      </c>
    </row>
    <row r="275" spans="1:4" s="3" customFormat="1" ht="51.75" customHeight="1" x14ac:dyDescent="0.3">
      <c r="A275" s="21"/>
      <c r="B275" s="54" t="s">
        <v>180</v>
      </c>
      <c r="C275" s="54"/>
      <c r="D275" s="22">
        <f>SUM(D276:D346)</f>
        <v>62016820</v>
      </c>
    </row>
    <row r="276" spans="1:4" s="3" customFormat="1" ht="33.950000000000003" customHeight="1" x14ac:dyDescent="0.3">
      <c r="A276" s="36" t="s">
        <v>183</v>
      </c>
      <c r="B276" s="50" t="s">
        <v>15</v>
      </c>
      <c r="C276" s="51"/>
      <c r="D276" s="23">
        <f>670140</f>
        <v>670140</v>
      </c>
    </row>
    <row r="277" spans="1:4" s="3" customFormat="1" ht="33.950000000000003" customHeight="1" x14ac:dyDescent="0.3">
      <c r="A277" s="36" t="s">
        <v>185</v>
      </c>
      <c r="B277" s="52" t="s">
        <v>111</v>
      </c>
      <c r="C277" s="53"/>
      <c r="D277" s="23">
        <f>3000000</f>
        <v>3000000</v>
      </c>
    </row>
    <row r="278" spans="1:4" s="3" customFormat="1" ht="33.75" customHeight="1" x14ac:dyDescent="0.3">
      <c r="A278" s="36" t="s">
        <v>186</v>
      </c>
      <c r="B278" s="50" t="s">
        <v>22</v>
      </c>
      <c r="C278" s="51"/>
      <c r="D278" s="23">
        <f>600000</f>
        <v>600000</v>
      </c>
    </row>
    <row r="279" spans="1:4" s="3" customFormat="1" ht="37.5" customHeight="1" x14ac:dyDescent="0.3">
      <c r="A279" s="21" t="s">
        <v>187</v>
      </c>
      <c r="B279" s="52" t="s">
        <v>24</v>
      </c>
      <c r="C279" s="53"/>
      <c r="D279" s="23">
        <f>8595240</f>
        <v>8595240</v>
      </c>
    </row>
    <row r="280" spans="1:4" s="3" customFormat="1" ht="37.5" customHeight="1" x14ac:dyDescent="0.3">
      <c r="A280" s="21" t="s">
        <v>188</v>
      </c>
      <c r="B280" s="50" t="s">
        <v>25</v>
      </c>
      <c r="C280" s="51"/>
      <c r="D280" s="23">
        <f>1182180</f>
        <v>1182180</v>
      </c>
    </row>
    <row r="281" spans="1:4" s="3" customFormat="1" ht="33.75" customHeight="1" x14ac:dyDescent="0.3">
      <c r="A281" s="21" t="s">
        <v>189</v>
      </c>
      <c r="B281" s="50" t="s">
        <v>32</v>
      </c>
      <c r="C281" s="51"/>
      <c r="D281" s="23">
        <v>1863840</v>
      </c>
    </row>
    <row r="282" spans="1:4" s="3" customFormat="1" ht="33.950000000000003" customHeight="1" x14ac:dyDescent="0.3">
      <c r="A282" s="21" t="s">
        <v>190</v>
      </c>
      <c r="B282" s="50" t="s">
        <v>29</v>
      </c>
      <c r="C282" s="51"/>
      <c r="D282" s="23">
        <v>1307880</v>
      </c>
    </row>
    <row r="283" spans="1:4" s="3" customFormat="1" ht="37.5" customHeight="1" x14ac:dyDescent="0.3">
      <c r="A283" s="21" t="s">
        <v>191</v>
      </c>
      <c r="B283" s="50" t="s">
        <v>30</v>
      </c>
      <c r="C283" s="51"/>
      <c r="D283" s="23">
        <f>684780</f>
        <v>684780</v>
      </c>
    </row>
    <row r="284" spans="1:4" s="3" customFormat="1" ht="33.75" customHeight="1" x14ac:dyDescent="0.3">
      <c r="A284" s="36" t="s">
        <v>192</v>
      </c>
      <c r="B284" s="50" t="s">
        <v>33</v>
      </c>
      <c r="C284" s="51"/>
      <c r="D284" s="23">
        <v>600000</v>
      </c>
    </row>
    <row r="285" spans="1:4" s="3" customFormat="1" ht="33.950000000000003" customHeight="1" x14ac:dyDescent="0.3">
      <c r="A285" s="21" t="s">
        <v>193</v>
      </c>
      <c r="B285" s="50" t="s">
        <v>34</v>
      </c>
      <c r="C285" s="51"/>
      <c r="D285" s="23">
        <f>1520700</f>
        <v>1520700</v>
      </c>
    </row>
    <row r="286" spans="1:4" s="3" customFormat="1" ht="33.950000000000003" customHeight="1" x14ac:dyDescent="0.3">
      <c r="A286" s="21" t="s">
        <v>194</v>
      </c>
      <c r="B286" s="50" t="s">
        <v>35</v>
      </c>
      <c r="C286" s="51"/>
      <c r="D286" s="23">
        <v>645960</v>
      </c>
    </row>
    <row r="287" spans="1:4" s="3" customFormat="1" ht="33.75" customHeight="1" x14ac:dyDescent="0.3">
      <c r="A287" s="21" t="s">
        <v>195</v>
      </c>
      <c r="B287" s="50" t="s">
        <v>14</v>
      </c>
      <c r="C287" s="51"/>
      <c r="D287" s="23">
        <v>206800</v>
      </c>
    </row>
    <row r="288" spans="1:4" s="3" customFormat="1" ht="33.75" customHeight="1" x14ac:dyDescent="0.3">
      <c r="A288" s="21" t="s">
        <v>158</v>
      </c>
      <c r="B288" s="50" t="s">
        <v>155</v>
      </c>
      <c r="C288" s="51"/>
      <c r="D288" s="23">
        <v>249960</v>
      </c>
    </row>
    <row r="289" spans="1:4" s="3" customFormat="1" ht="33.75" customHeight="1" x14ac:dyDescent="0.3">
      <c r="A289" s="21" t="s">
        <v>196</v>
      </c>
      <c r="B289" s="50" t="s">
        <v>44</v>
      </c>
      <c r="C289" s="51"/>
      <c r="D289" s="23">
        <f>877200</f>
        <v>877200</v>
      </c>
    </row>
    <row r="290" spans="1:4" s="3" customFormat="1" ht="33.950000000000003" customHeight="1" x14ac:dyDescent="0.3">
      <c r="A290" s="36" t="s">
        <v>159</v>
      </c>
      <c r="B290" s="50" t="s">
        <v>36</v>
      </c>
      <c r="C290" s="51"/>
      <c r="D290" s="23">
        <f>924780</f>
        <v>924780</v>
      </c>
    </row>
    <row r="291" spans="1:4" s="3" customFormat="1" ht="33.950000000000003" customHeight="1" x14ac:dyDescent="0.3">
      <c r="A291" s="36" t="s">
        <v>197</v>
      </c>
      <c r="B291" s="50" t="s">
        <v>101</v>
      </c>
      <c r="C291" s="51"/>
      <c r="D291" s="23">
        <v>600000</v>
      </c>
    </row>
    <row r="292" spans="1:4" s="3" customFormat="1" ht="33.75" customHeight="1" x14ac:dyDescent="0.3">
      <c r="A292" s="36" t="s">
        <v>105</v>
      </c>
      <c r="B292" s="50" t="s">
        <v>55</v>
      </c>
      <c r="C292" s="51"/>
      <c r="D292" s="23">
        <f>1530100</f>
        <v>1530100</v>
      </c>
    </row>
    <row r="293" spans="1:4" s="3" customFormat="1" ht="33.950000000000003" customHeight="1" x14ac:dyDescent="0.3">
      <c r="A293" s="36" t="s">
        <v>160</v>
      </c>
      <c r="B293" s="50" t="s">
        <v>45</v>
      </c>
      <c r="C293" s="51"/>
      <c r="D293" s="23">
        <f>196140</f>
        <v>196140</v>
      </c>
    </row>
    <row r="294" spans="1:4" s="3" customFormat="1" ht="33.950000000000003" customHeight="1" x14ac:dyDescent="0.3">
      <c r="A294" s="36" t="s">
        <v>161</v>
      </c>
      <c r="B294" s="50" t="s">
        <v>7</v>
      </c>
      <c r="C294" s="51"/>
      <c r="D294" s="23">
        <f>1141740</f>
        <v>1141740</v>
      </c>
    </row>
    <row r="295" spans="1:4" s="3" customFormat="1" ht="33.950000000000003" customHeight="1" x14ac:dyDescent="0.3">
      <c r="A295" s="36" t="s">
        <v>162</v>
      </c>
      <c r="B295" s="50" t="s">
        <v>53</v>
      </c>
      <c r="C295" s="51"/>
      <c r="D295" s="23">
        <v>588900</v>
      </c>
    </row>
    <row r="296" spans="1:4" s="3" customFormat="1" ht="33.75" customHeight="1" x14ac:dyDescent="0.3">
      <c r="A296" s="36" t="s">
        <v>199</v>
      </c>
      <c r="B296" s="50" t="s">
        <v>16</v>
      </c>
      <c r="C296" s="51"/>
      <c r="D296" s="23">
        <f>1056540</f>
        <v>1056540</v>
      </c>
    </row>
    <row r="297" spans="1:4" s="3" customFormat="1" ht="33.950000000000003" customHeight="1" x14ac:dyDescent="0.3">
      <c r="A297" s="36" t="s">
        <v>163</v>
      </c>
      <c r="B297" s="50" t="s">
        <v>68</v>
      </c>
      <c r="C297" s="51"/>
      <c r="D297" s="23">
        <v>299300</v>
      </c>
    </row>
    <row r="298" spans="1:4" s="3" customFormat="1" ht="33.75" customHeight="1" x14ac:dyDescent="0.3">
      <c r="A298" s="36" t="s">
        <v>200</v>
      </c>
      <c r="B298" s="50" t="s">
        <v>6</v>
      </c>
      <c r="C298" s="51"/>
      <c r="D298" s="23">
        <f>512000</f>
        <v>512000</v>
      </c>
    </row>
    <row r="299" spans="1:4" s="3" customFormat="1" ht="33.75" customHeight="1" x14ac:dyDescent="0.3">
      <c r="A299" s="36" t="s">
        <v>164</v>
      </c>
      <c r="B299" s="50" t="s">
        <v>165</v>
      </c>
      <c r="C299" s="51"/>
      <c r="D299" s="23">
        <f>237480</f>
        <v>237480</v>
      </c>
    </row>
    <row r="300" spans="1:4" s="3" customFormat="1" ht="33.950000000000003" customHeight="1" x14ac:dyDescent="0.3">
      <c r="A300" s="36" t="s">
        <v>201</v>
      </c>
      <c r="B300" s="50" t="s">
        <v>8</v>
      </c>
      <c r="C300" s="51"/>
      <c r="D300" s="23">
        <f>248280</f>
        <v>248280</v>
      </c>
    </row>
    <row r="301" spans="1:4" s="3" customFormat="1" ht="33.950000000000003" customHeight="1" x14ac:dyDescent="0.3">
      <c r="A301" s="36" t="s">
        <v>202</v>
      </c>
      <c r="B301" s="50" t="s">
        <v>61</v>
      </c>
      <c r="C301" s="51"/>
      <c r="D301" s="23">
        <v>518820</v>
      </c>
    </row>
    <row r="302" spans="1:4" s="3" customFormat="1" ht="33.950000000000003" customHeight="1" x14ac:dyDescent="0.3">
      <c r="A302" s="36" t="s">
        <v>167</v>
      </c>
      <c r="B302" s="50" t="s">
        <v>62</v>
      </c>
      <c r="C302" s="51"/>
      <c r="D302" s="23">
        <v>582420</v>
      </c>
    </row>
    <row r="303" spans="1:4" s="3" customFormat="1" ht="33.75" customHeight="1" x14ac:dyDescent="0.3">
      <c r="A303" s="36" t="s">
        <v>203</v>
      </c>
      <c r="B303" s="50" t="s">
        <v>204</v>
      </c>
      <c r="C303" s="51"/>
      <c r="D303" s="23">
        <v>152280</v>
      </c>
    </row>
    <row r="304" spans="1:4" s="3" customFormat="1" ht="33.75" customHeight="1" x14ac:dyDescent="0.3">
      <c r="A304" s="36" t="s">
        <v>205</v>
      </c>
      <c r="B304" s="50" t="s">
        <v>46</v>
      </c>
      <c r="C304" s="51"/>
      <c r="D304" s="23">
        <f>420000+120000</f>
        <v>540000</v>
      </c>
    </row>
    <row r="305" spans="1:4" s="3" customFormat="1" ht="36.75" customHeight="1" x14ac:dyDescent="0.3">
      <c r="A305" s="36" t="s">
        <v>181</v>
      </c>
      <c r="B305" s="50" t="s">
        <v>182</v>
      </c>
      <c r="C305" s="51"/>
      <c r="D305" s="23">
        <f>270480</f>
        <v>270480</v>
      </c>
    </row>
    <row r="306" spans="1:4" s="3" customFormat="1" ht="33.950000000000003" customHeight="1" x14ac:dyDescent="0.3">
      <c r="A306" s="36" t="s">
        <v>168</v>
      </c>
      <c r="B306" s="50" t="s">
        <v>69</v>
      </c>
      <c r="C306" s="51"/>
      <c r="D306" s="23">
        <f>392820</f>
        <v>392820</v>
      </c>
    </row>
    <row r="307" spans="1:4" s="3" customFormat="1" ht="33.950000000000003" customHeight="1" x14ac:dyDescent="0.3">
      <c r="A307" s="36" t="s">
        <v>169</v>
      </c>
      <c r="B307" s="50" t="s">
        <v>20</v>
      </c>
      <c r="C307" s="51"/>
      <c r="D307" s="23">
        <f>776460</f>
        <v>776460</v>
      </c>
    </row>
    <row r="308" spans="1:4" s="3" customFormat="1" ht="33.950000000000003" customHeight="1" x14ac:dyDescent="0.3">
      <c r="A308" s="36" t="s">
        <v>206</v>
      </c>
      <c r="B308" s="50" t="s">
        <v>65</v>
      </c>
      <c r="C308" s="51"/>
      <c r="D308" s="23">
        <f>205500</f>
        <v>205500</v>
      </c>
    </row>
    <row r="309" spans="1:4" s="3" customFormat="1" ht="33.75" customHeight="1" x14ac:dyDescent="0.3">
      <c r="A309" s="21" t="s">
        <v>207</v>
      </c>
      <c r="B309" s="52" t="s">
        <v>208</v>
      </c>
      <c r="C309" s="53"/>
      <c r="D309" s="23">
        <v>84780</v>
      </c>
    </row>
    <row r="310" spans="1:4" s="3" customFormat="1" ht="33.75" customHeight="1" x14ac:dyDescent="0.3">
      <c r="A310" s="21" t="s">
        <v>209</v>
      </c>
      <c r="B310" s="52" t="s">
        <v>9</v>
      </c>
      <c r="C310" s="53"/>
      <c r="D310" s="23">
        <f>1230120</f>
        <v>1230120</v>
      </c>
    </row>
    <row r="311" spans="1:4" s="3" customFormat="1" ht="33.75" customHeight="1" x14ac:dyDescent="0.3">
      <c r="A311" s="21" t="s">
        <v>210</v>
      </c>
      <c r="B311" s="52" t="s">
        <v>73</v>
      </c>
      <c r="C311" s="53"/>
      <c r="D311" s="23">
        <f>200000+105000</f>
        <v>305000</v>
      </c>
    </row>
    <row r="312" spans="1:4" s="3" customFormat="1" ht="33.950000000000003" customHeight="1" x14ac:dyDescent="0.3">
      <c r="A312" s="21" t="s">
        <v>170</v>
      </c>
      <c r="B312" s="52" t="s">
        <v>88</v>
      </c>
      <c r="C312" s="53"/>
      <c r="D312" s="23">
        <f>372540</f>
        <v>372540</v>
      </c>
    </row>
    <row r="313" spans="1:4" s="3" customFormat="1" ht="33.950000000000003" customHeight="1" x14ac:dyDescent="0.3">
      <c r="A313" s="21" t="s">
        <v>211</v>
      </c>
      <c r="B313" s="52" t="s">
        <v>87</v>
      </c>
      <c r="C313" s="53"/>
      <c r="D313" s="23">
        <v>707940</v>
      </c>
    </row>
    <row r="314" spans="1:4" s="3" customFormat="1" ht="33.75" customHeight="1" x14ac:dyDescent="0.3">
      <c r="A314" s="21" t="s">
        <v>212</v>
      </c>
      <c r="B314" s="52" t="s">
        <v>39</v>
      </c>
      <c r="C314" s="53"/>
      <c r="D314" s="23">
        <v>298260</v>
      </c>
    </row>
    <row r="315" spans="1:4" s="3" customFormat="1" ht="33.75" customHeight="1" x14ac:dyDescent="0.3">
      <c r="A315" s="21" t="s">
        <v>213</v>
      </c>
      <c r="B315" s="52" t="s">
        <v>214</v>
      </c>
      <c r="C315" s="53"/>
      <c r="D315" s="23">
        <f>152700</f>
        <v>152700</v>
      </c>
    </row>
    <row r="316" spans="1:4" s="3" customFormat="1" ht="33.75" customHeight="1" x14ac:dyDescent="0.3">
      <c r="A316" s="36" t="s">
        <v>215</v>
      </c>
      <c r="B316" s="50" t="s">
        <v>156</v>
      </c>
      <c r="C316" s="51"/>
      <c r="D316" s="23">
        <v>781300</v>
      </c>
    </row>
    <row r="317" spans="1:4" s="3" customFormat="1" ht="33.950000000000003" customHeight="1" x14ac:dyDescent="0.3">
      <c r="A317" s="21" t="s">
        <v>174</v>
      </c>
      <c r="B317" s="52" t="s">
        <v>74</v>
      </c>
      <c r="C317" s="53"/>
      <c r="D317" s="23">
        <f>1356900</f>
        <v>1356900</v>
      </c>
    </row>
    <row r="318" spans="1:4" s="3" customFormat="1" ht="33.75" customHeight="1" x14ac:dyDescent="0.3">
      <c r="A318" s="21" t="s">
        <v>173</v>
      </c>
      <c r="B318" s="52" t="s">
        <v>23</v>
      </c>
      <c r="C318" s="53"/>
      <c r="D318" s="23">
        <f>694440</f>
        <v>694440</v>
      </c>
    </row>
    <row r="319" spans="1:4" s="3" customFormat="1" ht="33.75" customHeight="1" x14ac:dyDescent="0.3">
      <c r="A319" s="21" t="s">
        <v>216</v>
      </c>
      <c r="B319" s="52" t="s">
        <v>40</v>
      </c>
      <c r="C319" s="53"/>
      <c r="D319" s="23">
        <v>334140</v>
      </c>
    </row>
    <row r="320" spans="1:4" s="3" customFormat="1" ht="33.75" customHeight="1" x14ac:dyDescent="0.3">
      <c r="A320" s="21" t="s">
        <v>217</v>
      </c>
      <c r="B320" s="52" t="s">
        <v>10</v>
      </c>
      <c r="C320" s="53"/>
      <c r="D320" s="23">
        <f>595860</f>
        <v>595860</v>
      </c>
    </row>
    <row r="321" spans="1:4" s="3" customFormat="1" ht="33.75" customHeight="1" x14ac:dyDescent="0.3">
      <c r="A321" s="21" t="s">
        <v>218</v>
      </c>
      <c r="B321" s="52" t="s">
        <v>70</v>
      </c>
      <c r="C321" s="53"/>
      <c r="D321" s="23">
        <f>807960</f>
        <v>807960</v>
      </c>
    </row>
    <row r="322" spans="1:4" s="3" customFormat="1" ht="33.950000000000003" customHeight="1" x14ac:dyDescent="0.3">
      <c r="A322" s="21" t="s">
        <v>219</v>
      </c>
      <c r="B322" s="52" t="s">
        <v>72</v>
      </c>
      <c r="C322" s="53"/>
      <c r="D322" s="23">
        <v>1029780</v>
      </c>
    </row>
    <row r="323" spans="1:4" s="3" customFormat="1" ht="33.75" customHeight="1" x14ac:dyDescent="0.3">
      <c r="A323" s="21" t="s">
        <v>220</v>
      </c>
      <c r="B323" s="52" t="s">
        <v>59</v>
      </c>
      <c r="C323" s="53"/>
      <c r="D323" s="23">
        <v>1772880</v>
      </c>
    </row>
    <row r="324" spans="1:4" s="3" customFormat="1" ht="33.950000000000003" customHeight="1" x14ac:dyDescent="0.3">
      <c r="A324" s="21" t="s">
        <v>221</v>
      </c>
      <c r="B324" s="52" t="s">
        <v>26</v>
      </c>
      <c r="C324" s="53"/>
      <c r="D324" s="23">
        <v>579600</v>
      </c>
    </row>
    <row r="325" spans="1:4" s="3" customFormat="1" ht="33.75" customHeight="1" x14ac:dyDescent="0.3">
      <c r="A325" s="21" t="s">
        <v>175</v>
      </c>
      <c r="B325" s="52" t="s">
        <v>12</v>
      </c>
      <c r="C325" s="53"/>
      <c r="D325" s="23">
        <v>1514400</v>
      </c>
    </row>
    <row r="326" spans="1:4" s="3" customFormat="1" ht="33.950000000000003" customHeight="1" x14ac:dyDescent="0.3">
      <c r="A326" s="21" t="s">
        <v>222</v>
      </c>
      <c r="B326" s="52" t="s">
        <v>71</v>
      </c>
      <c r="C326" s="53"/>
      <c r="D326" s="23">
        <v>1208900</v>
      </c>
    </row>
    <row r="327" spans="1:4" s="3" customFormat="1" ht="33.75" customHeight="1" x14ac:dyDescent="0.3">
      <c r="A327" s="21" t="s">
        <v>223</v>
      </c>
      <c r="B327" s="52" t="s">
        <v>28</v>
      </c>
      <c r="C327" s="53"/>
      <c r="D327" s="23">
        <f>510000</f>
        <v>510000</v>
      </c>
    </row>
    <row r="328" spans="1:4" s="3" customFormat="1" ht="33.950000000000003" customHeight="1" x14ac:dyDescent="0.3">
      <c r="A328" s="21" t="s">
        <v>261</v>
      </c>
      <c r="B328" s="52" t="s">
        <v>60</v>
      </c>
      <c r="C328" s="53"/>
      <c r="D328" s="23">
        <f>539160</f>
        <v>539160</v>
      </c>
    </row>
    <row r="329" spans="1:4" s="3" customFormat="1" ht="33.950000000000003" customHeight="1" x14ac:dyDescent="0.3">
      <c r="A329" s="21" t="s">
        <v>224</v>
      </c>
      <c r="B329" s="52" t="s">
        <v>48</v>
      </c>
      <c r="C329" s="53"/>
      <c r="D329" s="23">
        <f>117720</f>
        <v>117720</v>
      </c>
    </row>
    <row r="330" spans="1:4" s="3" customFormat="1" ht="33.75" customHeight="1" x14ac:dyDescent="0.3">
      <c r="A330" s="21" t="s">
        <v>225</v>
      </c>
      <c r="B330" s="52" t="s">
        <v>67</v>
      </c>
      <c r="C330" s="53"/>
      <c r="D330" s="23">
        <v>331700</v>
      </c>
    </row>
    <row r="331" spans="1:4" s="3" customFormat="1" ht="33.950000000000003" customHeight="1" x14ac:dyDescent="0.3">
      <c r="A331" s="21" t="s">
        <v>226</v>
      </c>
      <c r="B331" s="52" t="s">
        <v>227</v>
      </c>
      <c r="C331" s="53"/>
      <c r="D331" s="23">
        <f>285120</f>
        <v>285120</v>
      </c>
    </row>
    <row r="332" spans="1:4" s="3" customFormat="1" ht="33.75" customHeight="1" x14ac:dyDescent="0.3">
      <c r="A332" s="21" t="s">
        <v>273</v>
      </c>
      <c r="B332" s="52" t="s">
        <v>272</v>
      </c>
      <c r="C332" s="53"/>
      <c r="D332" s="23">
        <f>295440</f>
        <v>295440</v>
      </c>
    </row>
    <row r="333" spans="1:4" s="3" customFormat="1" ht="33.950000000000003" customHeight="1" x14ac:dyDescent="0.3">
      <c r="A333" s="21" t="s">
        <v>228</v>
      </c>
      <c r="B333" s="52" t="s">
        <v>42</v>
      </c>
      <c r="C333" s="53"/>
      <c r="D333" s="23">
        <v>4594380</v>
      </c>
    </row>
    <row r="334" spans="1:4" s="3" customFormat="1" ht="33.950000000000003" customHeight="1" x14ac:dyDescent="0.3">
      <c r="A334" s="21" t="s">
        <v>229</v>
      </c>
      <c r="B334" s="52" t="s">
        <v>110</v>
      </c>
      <c r="C334" s="53"/>
      <c r="D334" s="23">
        <f>180660</f>
        <v>180660</v>
      </c>
    </row>
    <row r="335" spans="1:4" s="3" customFormat="1" ht="33.950000000000003" customHeight="1" x14ac:dyDescent="0.3">
      <c r="A335" s="21" t="s">
        <v>176</v>
      </c>
      <c r="B335" s="52" t="s">
        <v>41</v>
      </c>
      <c r="C335" s="53"/>
      <c r="D335" s="23">
        <f>1208400</f>
        <v>1208400</v>
      </c>
    </row>
    <row r="336" spans="1:4" s="3" customFormat="1" ht="33.950000000000003" customHeight="1" x14ac:dyDescent="0.3">
      <c r="A336" s="21" t="s">
        <v>230</v>
      </c>
      <c r="B336" s="52" t="s">
        <v>49</v>
      </c>
      <c r="C336" s="53"/>
      <c r="D336" s="23">
        <f>300000</f>
        <v>300000</v>
      </c>
    </row>
    <row r="337" spans="1:4" s="3" customFormat="1" ht="33.75" customHeight="1" x14ac:dyDescent="0.3">
      <c r="A337" s="21" t="s">
        <v>231</v>
      </c>
      <c r="B337" s="52" t="s">
        <v>232</v>
      </c>
      <c r="C337" s="53"/>
      <c r="D337" s="23">
        <f>221280</f>
        <v>221280</v>
      </c>
    </row>
    <row r="338" spans="1:4" s="3" customFormat="1" ht="33.75" customHeight="1" x14ac:dyDescent="0.3">
      <c r="A338" s="21" t="s">
        <v>233</v>
      </c>
      <c r="B338" s="52" t="s">
        <v>50</v>
      </c>
      <c r="C338" s="53"/>
      <c r="D338" s="23">
        <f>687960</f>
        <v>687960</v>
      </c>
    </row>
    <row r="339" spans="1:4" s="3" customFormat="1" ht="33.950000000000003" customHeight="1" x14ac:dyDescent="0.3">
      <c r="A339" s="21" t="s">
        <v>177</v>
      </c>
      <c r="B339" s="52" t="s">
        <v>58</v>
      </c>
      <c r="C339" s="53"/>
      <c r="D339" s="23">
        <f>634560</f>
        <v>634560</v>
      </c>
    </row>
    <row r="340" spans="1:4" s="3" customFormat="1" ht="33.950000000000003" customHeight="1" x14ac:dyDescent="0.3">
      <c r="A340" s="21" t="s">
        <v>234</v>
      </c>
      <c r="B340" s="52" t="s">
        <v>66</v>
      </c>
      <c r="C340" s="53"/>
      <c r="D340" s="23">
        <v>233160</v>
      </c>
    </row>
    <row r="341" spans="1:4" s="3" customFormat="1" ht="33.75" customHeight="1" x14ac:dyDescent="0.3">
      <c r="A341" s="21" t="s">
        <v>235</v>
      </c>
      <c r="B341" s="52" t="s">
        <v>51</v>
      </c>
      <c r="C341" s="53"/>
      <c r="D341" s="23">
        <v>665040</v>
      </c>
    </row>
    <row r="342" spans="1:4" s="3" customFormat="1" ht="33.75" customHeight="1" x14ac:dyDescent="0.3">
      <c r="A342" s="21" t="s">
        <v>178</v>
      </c>
      <c r="B342" s="52" t="s">
        <v>13</v>
      </c>
      <c r="C342" s="53"/>
      <c r="D342" s="23">
        <f>2100000+1200000</f>
        <v>3300000</v>
      </c>
    </row>
    <row r="343" spans="1:4" s="3" customFormat="1" ht="33.75" customHeight="1" x14ac:dyDescent="0.3">
      <c r="A343" s="21" t="s">
        <v>236</v>
      </c>
      <c r="B343" s="52" t="s">
        <v>11</v>
      </c>
      <c r="C343" s="53"/>
      <c r="D343" s="23">
        <v>270360</v>
      </c>
    </row>
    <row r="344" spans="1:4" s="3" customFormat="1" ht="33.75" customHeight="1" x14ac:dyDescent="0.3">
      <c r="A344" s="21" t="s">
        <v>237</v>
      </c>
      <c r="B344" s="52" t="s">
        <v>238</v>
      </c>
      <c r="C344" s="53"/>
      <c r="D344" s="23">
        <v>341280</v>
      </c>
    </row>
    <row r="345" spans="1:4" s="3" customFormat="1" ht="33.75" customHeight="1" x14ac:dyDescent="0.3">
      <c r="A345" s="21" t="s">
        <v>179</v>
      </c>
      <c r="B345" s="52" t="s">
        <v>63</v>
      </c>
      <c r="C345" s="53"/>
      <c r="D345" s="23">
        <v>120000</v>
      </c>
    </row>
    <row r="346" spans="1:4" s="3" customFormat="1" ht="33.75" customHeight="1" x14ac:dyDescent="0.3">
      <c r="A346" s="21" t="s">
        <v>239</v>
      </c>
      <c r="B346" s="52" t="s">
        <v>64</v>
      </c>
      <c r="C346" s="53"/>
      <c r="D346" s="23">
        <v>574380</v>
      </c>
    </row>
    <row r="347" spans="1:4" s="3" customFormat="1" ht="49.5" customHeight="1" x14ac:dyDescent="0.3">
      <c r="A347" s="36"/>
      <c r="B347" s="54" t="s">
        <v>325</v>
      </c>
      <c r="C347" s="54"/>
      <c r="D347" s="22">
        <f>SUM(D348:D351)</f>
        <v>10000000</v>
      </c>
    </row>
    <row r="348" spans="1:4" s="3" customFormat="1" ht="34.5" customHeight="1" x14ac:dyDescent="0.3">
      <c r="A348" s="21" t="s">
        <v>259</v>
      </c>
      <c r="B348" s="52" t="s">
        <v>52</v>
      </c>
      <c r="C348" s="53"/>
      <c r="D348" s="23">
        <f>2000000</f>
        <v>2000000</v>
      </c>
    </row>
    <row r="349" spans="1:4" s="3" customFormat="1" ht="33.75" customHeight="1" x14ac:dyDescent="0.3">
      <c r="A349" s="36" t="s">
        <v>105</v>
      </c>
      <c r="B349" s="50" t="s">
        <v>55</v>
      </c>
      <c r="C349" s="51"/>
      <c r="D349" s="23">
        <f>1000000</f>
        <v>1000000</v>
      </c>
    </row>
    <row r="350" spans="1:4" s="3" customFormat="1" ht="34.5" customHeight="1" x14ac:dyDescent="0.3">
      <c r="A350" s="21" t="s">
        <v>262</v>
      </c>
      <c r="B350" s="52" t="s">
        <v>54</v>
      </c>
      <c r="C350" s="53"/>
      <c r="D350" s="23">
        <f>2000000</f>
        <v>2000000</v>
      </c>
    </row>
    <row r="351" spans="1:4" s="3" customFormat="1" ht="34.5" customHeight="1" x14ac:dyDescent="0.3">
      <c r="A351" s="21" t="s">
        <v>260</v>
      </c>
      <c r="B351" s="52" t="s">
        <v>47</v>
      </c>
      <c r="C351" s="53"/>
      <c r="D351" s="23">
        <f>5000000</f>
        <v>5000000</v>
      </c>
    </row>
    <row r="352" spans="1:4" s="3" customFormat="1" ht="49.5" customHeight="1" x14ac:dyDescent="0.3">
      <c r="A352" s="36"/>
      <c r="B352" s="54" t="s">
        <v>326</v>
      </c>
      <c r="C352" s="54"/>
      <c r="D352" s="22">
        <f>SUM(D353:D379)</f>
        <v>13450000</v>
      </c>
    </row>
    <row r="353" spans="1:4" s="3" customFormat="1" ht="33.950000000000003" customHeight="1" x14ac:dyDescent="0.3">
      <c r="A353" s="36" t="s">
        <v>183</v>
      </c>
      <c r="B353" s="50" t="s">
        <v>15</v>
      </c>
      <c r="C353" s="51"/>
      <c r="D353" s="23">
        <f>760000</f>
        <v>760000</v>
      </c>
    </row>
    <row r="354" spans="1:4" s="3" customFormat="1" ht="33.75" customHeight="1" x14ac:dyDescent="0.3">
      <c r="A354" s="36" t="s">
        <v>192</v>
      </c>
      <c r="B354" s="50" t="s">
        <v>33</v>
      </c>
      <c r="C354" s="51"/>
      <c r="D354" s="23">
        <f>380000</f>
        <v>380000</v>
      </c>
    </row>
    <row r="355" spans="1:4" s="3" customFormat="1" ht="33.75" customHeight="1" x14ac:dyDescent="0.3">
      <c r="A355" s="21" t="s">
        <v>158</v>
      </c>
      <c r="B355" s="50" t="s">
        <v>155</v>
      </c>
      <c r="C355" s="51"/>
      <c r="D355" s="23">
        <f>360000</f>
        <v>360000</v>
      </c>
    </row>
    <row r="356" spans="1:4" s="3" customFormat="1" ht="33.75" customHeight="1" x14ac:dyDescent="0.3">
      <c r="A356" s="21" t="s">
        <v>196</v>
      </c>
      <c r="B356" s="50" t="s">
        <v>44</v>
      </c>
      <c r="C356" s="51"/>
      <c r="D356" s="23">
        <f>380000</f>
        <v>380000</v>
      </c>
    </row>
    <row r="357" spans="1:4" s="3" customFormat="1" ht="33.75" customHeight="1" x14ac:dyDescent="0.3">
      <c r="A357" s="36" t="s">
        <v>161</v>
      </c>
      <c r="B357" s="50" t="s">
        <v>7</v>
      </c>
      <c r="C357" s="51"/>
      <c r="D357" s="23">
        <f>760000</f>
        <v>760000</v>
      </c>
    </row>
    <row r="358" spans="1:4" s="3" customFormat="1" ht="33.950000000000003" customHeight="1" x14ac:dyDescent="0.3">
      <c r="A358" s="36" t="s">
        <v>162</v>
      </c>
      <c r="B358" s="50" t="s">
        <v>53</v>
      </c>
      <c r="C358" s="51"/>
      <c r="D358" s="23">
        <f>380000</f>
        <v>380000</v>
      </c>
    </row>
    <row r="359" spans="1:4" s="3" customFormat="1" ht="33.75" customHeight="1" x14ac:dyDescent="0.3">
      <c r="A359" s="36" t="s">
        <v>200</v>
      </c>
      <c r="B359" s="50" t="s">
        <v>6</v>
      </c>
      <c r="C359" s="51"/>
      <c r="D359" s="23">
        <f>380000</f>
        <v>380000</v>
      </c>
    </row>
    <row r="360" spans="1:4" s="3" customFormat="1" ht="33.950000000000003" customHeight="1" x14ac:dyDescent="0.3">
      <c r="A360" s="36" t="s">
        <v>202</v>
      </c>
      <c r="B360" s="50" t="s">
        <v>61</v>
      </c>
      <c r="C360" s="51"/>
      <c r="D360" s="23">
        <f>190000</f>
        <v>190000</v>
      </c>
    </row>
    <row r="361" spans="1:4" s="3" customFormat="1" ht="33.950000000000003" customHeight="1" x14ac:dyDescent="0.3">
      <c r="A361" s="36" t="s">
        <v>169</v>
      </c>
      <c r="B361" s="50" t="s">
        <v>20</v>
      </c>
      <c r="C361" s="51"/>
      <c r="D361" s="23">
        <f>760000</f>
        <v>760000</v>
      </c>
    </row>
    <row r="362" spans="1:4" s="3" customFormat="1" ht="33.950000000000003" customHeight="1" x14ac:dyDescent="0.3">
      <c r="A362" s="21" t="s">
        <v>211</v>
      </c>
      <c r="B362" s="52" t="s">
        <v>87</v>
      </c>
      <c r="C362" s="53"/>
      <c r="D362" s="23">
        <f>380000</f>
        <v>380000</v>
      </c>
    </row>
    <row r="363" spans="1:4" s="3" customFormat="1" ht="33.950000000000003" customHeight="1" x14ac:dyDescent="0.3">
      <c r="A363" s="36" t="s">
        <v>215</v>
      </c>
      <c r="B363" s="50" t="s">
        <v>156</v>
      </c>
      <c r="C363" s="51"/>
      <c r="D363" s="23">
        <f>1288000+22000</f>
        <v>1310000</v>
      </c>
    </row>
    <row r="364" spans="1:4" s="3" customFormat="1" ht="33.75" customHeight="1" x14ac:dyDescent="0.3">
      <c r="A364" s="21" t="s">
        <v>213</v>
      </c>
      <c r="B364" s="52" t="s">
        <v>214</v>
      </c>
      <c r="C364" s="53"/>
      <c r="D364" s="23">
        <f>380000</f>
        <v>380000</v>
      </c>
    </row>
    <row r="365" spans="1:4" s="3" customFormat="1" ht="33.75" customHeight="1" x14ac:dyDescent="0.3">
      <c r="A365" s="21" t="s">
        <v>174</v>
      </c>
      <c r="B365" s="52" t="s">
        <v>74</v>
      </c>
      <c r="C365" s="53"/>
      <c r="D365" s="23">
        <f>760000</f>
        <v>760000</v>
      </c>
    </row>
    <row r="366" spans="1:4" s="3" customFormat="1" ht="33.75" customHeight="1" x14ac:dyDescent="0.3">
      <c r="A366" s="21" t="s">
        <v>173</v>
      </c>
      <c r="B366" s="52" t="s">
        <v>23</v>
      </c>
      <c r="C366" s="53"/>
      <c r="D366" s="23">
        <f>760000</f>
        <v>760000</v>
      </c>
    </row>
    <row r="367" spans="1:4" s="3" customFormat="1" ht="33.75" customHeight="1" x14ac:dyDescent="0.3">
      <c r="A367" s="21" t="s">
        <v>216</v>
      </c>
      <c r="B367" s="52" t="s">
        <v>40</v>
      </c>
      <c r="C367" s="53"/>
      <c r="D367" s="23">
        <f>190000</f>
        <v>190000</v>
      </c>
    </row>
    <row r="368" spans="1:4" s="3" customFormat="1" ht="33.75" customHeight="1" x14ac:dyDescent="0.3">
      <c r="A368" s="21" t="s">
        <v>218</v>
      </c>
      <c r="B368" s="52" t="s">
        <v>70</v>
      </c>
      <c r="C368" s="53"/>
      <c r="D368" s="23">
        <f t="shared" ref="D368:D373" si="0">380000</f>
        <v>380000</v>
      </c>
    </row>
    <row r="369" spans="1:4" s="3" customFormat="1" ht="33.950000000000003" customHeight="1" x14ac:dyDescent="0.3">
      <c r="A369" s="21" t="s">
        <v>219</v>
      </c>
      <c r="B369" s="52" t="s">
        <v>72</v>
      </c>
      <c r="C369" s="53"/>
      <c r="D369" s="23">
        <f t="shared" si="0"/>
        <v>380000</v>
      </c>
    </row>
    <row r="370" spans="1:4" s="3" customFormat="1" ht="33.950000000000003" customHeight="1" x14ac:dyDescent="0.3">
      <c r="A370" s="21" t="s">
        <v>222</v>
      </c>
      <c r="B370" s="52" t="s">
        <v>71</v>
      </c>
      <c r="C370" s="53"/>
      <c r="D370" s="23">
        <f t="shared" si="0"/>
        <v>380000</v>
      </c>
    </row>
    <row r="371" spans="1:4" s="3" customFormat="1" ht="33.75" customHeight="1" x14ac:dyDescent="0.3">
      <c r="A371" s="21" t="s">
        <v>223</v>
      </c>
      <c r="B371" s="52" t="s">
        <v>28</v>
      </c>
      <c r="C371" s="53"/>
      <c r="D371" s="23">
        <f t="shared" si="0"/>
        <v>380000</v>
      </c>
    </row>
    <row r="372" spans="1:4" s="3" customFormat="1" ht="33.75" customHeight="1" x14ac:dyDescent="0.3">
      <c r="A372" s="21" t="s">
        <v>225</v>
      </c>
      <c r="B372" s="52" t="s">
        <v>67</v>
      </c>
      <c r="C372" s="53"/>
      <c r="D372" s="23">
        <f t="shared" si="0"/>
        <v>380000</v>
      </c>
    </row>
    <row r="373" spans="1:4" s="3" customFormat="1" ht="33.75" customHeight="1" x14ac:dyDescent="0.3">
      <c r="A373" s="21" t="s">
        <v>273</v>
      </c>
      <c r="B373" s="52" t="s">
        <v>272</v>
      </c>
      <c r="C373" s="53"/>
      <c r="D373" s="23">
        <f t="shared" si="0"/>
        <v>380000</v>
      </c>
    </row>
    <row r="374" spans="1:4" s="3" customFormat="1" ht="33.950000000000003" customHeight="1" x14ac:dyDescent="0.3">
      <c r="A374" s="21" t="s">
        <v>228</v>
      </c>
      <c r="B374" s="52" t="s">
        <v>42</v>
      </c>
      <c r="C374" s="53"/>
      <c r="D374" s="23">
        <f>760000</f>
        <v>760000</v>
      </c>
    </row>
    <row r="375" spans="1:4" s="3" customFormat="1" ht="33.950000000000003" customHeight="1" x14ac:dyDescent="0.3">
      <c r="A375" s="21" t="s">
        <v>176</v>
      </c>
      <c r="B375" s="52" t="s">
        <v>41</v>
      </c>
      <c r="C375" s="53"/>
      <c r="D375" s="23">
        <f>760000</f>
        <v>760000</v>
      </c>
    </row>
    <row r="376" spans="1:4" s="3" customFormat="1" ht="33.950000000000003" customHeight="1" x14ac:dyDescent="0.3">
      <c r="A376" s="21" t="s">
        <v>230</v>
      </c>
      <c r="B376" s="52" t="s">
        <v>49</v>
      </c>
      <c r="C376" s="53"/>
      <c r="D376" s="23">
        <f>380000</f>
        <v>380000</v>
      </c>
    </row>
    <row r="377" spans="1:4" s="3" customFormat="1" ht="33.75" customHeight="1" x14ac:dyDescent="0.3">
      <c r="A377" s="21" t="s">
        <v>233</v>
      </c>
      <c r="B377" s="52" t="s">
        <v>50</v>
      </c>
      <c r="C377" s="53"/>
      <c r="D377" s="23">
        <f>380000</f>
        <v>380000</v>
      </c>
    </row>
    <row r="378" spans="1:4" s="3" customFormat="1" ht="33.75" customHeight="1" x14ac:dyDescent="0.3">
      <c r="A378" s="21" t="s">
        <v>235</v>
      </c>
      <c r="B378" s="52" t="s">
        <v>51</v>
      </c>
      <c r="C378" s="53"/>
      <c r="D378" s="23">
        <f>380000</f>
        <v>380000</v>
      </c>
    </row>
    <row r="379" spans="1:4" s="3" customFormat="1" ht="33.75" customHeight="1" x14ac:dyDescent="0.3">
      <c r="A379" s="21" t="s">
        <v>236</v>
      </c>
      <c r="B379" s="52" t="s">
        <v>11</v>
      </c>
      <c r="C379" s="53"/>
      <c r="D379" s="23">
        <f>380000</f>
        <v>380000</v>
      </c>
    </row>
    <row r="380" spans="1:4" s="3" customFormat="1" ht="41.25" customHeight="1" x14ac:dyDescent="0.3">
      <c r="A380" s="36"/>
      <c r="B380" s="54" t="s">
        <v>303</v>
      </c>
      <c r="C380" s="54"/>
      <c r="D380" s="22">
        <f>SUM(D381:D386)</f>
        <v>4148000</v>
      </c>
    </row>
    <row r="381" spans="1:4" s="3" customFormat="1" ht="33" customHeight="1" x14ac:dyDescent="0.3">
      <c r="A381" s="21" t="s">
        <v>159</v>
      </c>
      <c r="B381" s="52" t="s">
        <v>36</v>
      </c>
      <c r="C381" s="53"/>
      <c r="D381" s="23">
        <f>760000+22000</f>
        <v>782000</v>
      </c>
    </row>
    <row r="382" spans="1:4" s="3" customFormat="1" ht="33" customHeight="1" x14ac:dyDescent="0.3">
      <c r="A382" s="21" t="s">
        <v>199</v>
      </c>
      <c r="B382" s="52" t="s">
        <v>16</v>
      </c>
      <c r="C382" s="53"/>
      <c r="D382" s="23">
        <f>760000+22000</f>
        <v>782000</v>
      </c>
    </row>
    <row r="383" spans="1:4" s="3" customFormat="1" ht="33" customHeight="1" x14ac:dyDescent="0.3">
      <c r="A383" s="21" t="s">
        <v>203</v>
      </c>
      <c r="B383" s="52" t="s">
        <v>204</v>
      </c>
      <c r="C383" s="53"/>
      <c r="D383" s="23">
        <f>380000+22000</f>
        <v>402000</v>
      </c>
    </row>
    <row r="384" spans="1:4" s="3" customFormat="1" ht="33" customHeight="1" x14ac:dyDescent="0.3">
      <c r="A384" s="21" t="s">
        <v>181</v>
      </c>
      <c r="B384" s="52" t="s">
        <v>182</v>
      </c>
      <c r="C384" s="53"/>
      <c r="D384" s="23">
        <f>380000+22000</f>
        <v>402000</v>
      </c>
    </row>
    <row r="385" spans="1:4" s="3" customFormat="1" ht="33.75" customHeight="1" x14ac:dyDescent="0.3">
      <c r="A385" s="21" t="s">
        <v>209</v>
      </c>
      <c r="B385" s="52" t="s">
        <v>9</v>
      </c>
      <c r="C385" s="53"/>
      <c r="D385" s="23">
        <f>890000</f>
        <v>890000</v>
      </c>
    </row>
    <row r="386" spans="1:4" s="3" customFormat="1" ht="33.950000000000003" customHeight="1" x14ac:dyDescent="0.3">
      <c r="A386" s="21" t="s">
        <v>177</v>
      </c>
      <c r="B386" s="52" t="s">
        <v>58</v>
      </c>
      <c r="C386" s="53"/>
      <c r="D386" s="23">
        <f>890000</f>
        <v>890000</v>
      </c>
    </row>
    <row r="387" spans="1:4" s="3" customFormat="1" ht="49.5" customHeight="1" x14ac:dyDescent="0.3">
      <c r="A387" s="36"/>
      <c r="B387" s="54" t="s">
        <v>286</v>
      </c>
      <c r="C387" s="54"/>
      <c r="D387" s="22">
        <f>D388</f>
        <v>150000</v>
      </c>
    </row>
    <row r="388" spans="1:4" s="3" customFormat="1" ht="33.75" customHeight="1" x14ac:dyDescent="0.3">
      <c r="A388" s="21" t="s">
        <v>209</v>
      </c>
      <c r="B388" s="52" t="s">
        <v>9</v>
      </c>
      <c r="C388" s="53"/>
      <c r="D388" s="23">
        <v>150000</v>
      </c>
    </row>
    <row r="389" spans="1:4" s="3" customFormat="1" ht="36.75" customHeight="1" x14ac:dyDescent="0.3">
      <c r="A389" s="21"/>
      <c r="B389" s="54" t="s">
        <v>308</v>
      </c>
      <c r="C389" s="54"/>
      <c r="D389" s="22">
        <f>D390</f>
        <v>137000</v>
      </c>
    </row>
    <row r="390" spans="1:4" s="3" customFormat="1" ht="33.950000000000003" customHeight="1" x14ac:dyDescent="0.3">
      <c r="A390" s="36" t="s">
        <v>215</v>
      </c>
      <c r="B390" s="50" t="s">
        <v>156</v>
      </c>
      <c r="C390" s="51"/>
      <c r="D390" s="23">
        <f>137000</f>
        <v>137000</v>
      </c>
    </row>
    <row r="391" spans="1:4" s="4" customFormat="1" ht="30" customHeight="1" x14ac:dyDescent="0.3">
      <c r="A391" s="31" t="s">
        <v>93</v>
      </c>
      <c r="B391" s="55" t="s">
        <v>108</v>
      </c>
      <c r="C391" s="56"/>
      <c r="D391" s="22">
        <f>D392+D393</f>
        <v>2471523226</v>
      </c>
    </row>
    <row r="392" spans="1:4" s="4" customFormat="1" ht="30" customHeight="1" x14ac:dyDescent="0.3">
      <c r="A392" s="31" t="s">
        <v>93</v>
      </c>
      <c r="B392" s="54" t="s">
        <v>76</v>
      </c>
      <c r="C392" s="54"/>
      <c r="D392" s="22">
        <f>D33+D41+D55+D15+D39+D27+D45+D47+D49+D43+D17+D35+D23+D51+D31+D37+D21+D29+D25+D19</f>
        <v>2207912483</v>
      </c>
    </row>
    <row r="393" spans="1:4" s="4" customFormat="1" ht="30" customHeight="1" x14ac:dyDescent="0.3">
      <c r="A393" s="31" t="s">
        <v>93</v>
      </c>
      <c r="B393" s="54" t="s">
        <v>77</v>
      </c>
      <c r="C393" s="54"/>
      <c r="D393" s="22">
        <f>D271+D265+D263+D267+D269</f>
        <v>263610743</v>
      </c>
    </row>
    <row r="394" spans="1:4" ht="23.25" x14ac:dyDescent="0.35">
      <c r="A394" s="13"/>
      <c r="B394" s="13"/>
      <c r="C394" s="13"/>
      <c r="D394" s="13"/>
    </row>
  </sheetData>
  <sheetProtection selectLockedCells="1" selectUnlockedCells="1"/>
  <customSheetViews>
    <customSheetView guid="{4644111A-82C5-489B-9E53-EB80700E535E}" scale="50" showPageBreaks="1" zeroValues="0" printArea="1" view="pageBreakPreview">
      <pane xSplit="3" ySplit="12" topLeftCell="D32" activePane="bottomRight" state="frozen"/>
      <selection pane="bottomRight" activeCell="D34" sqref="D34"/>
      <rowBreaks count="2" manualBreakCount="2">
        <brk id="247" max="3" man="1"/>
        <brk id="286" max="3" man="1"/>
      </rowBreaks>
      <pageMargins left="0.98425196850393704" right="0.59055118110236227" top="0.59055118110236227" bottom="0.59055118110236227" header="0.39370078740157483" footer="0.39370078740157483"/>
      <printOptions horizontalCentered="1"/>
      <pageSetup paperSize="9" scale="43" firstPageNumber="0" fitToWidth="0" fitToHeight="0" orientation="portrait" horizontalDpi="300" verticalDpi="300" r:id="rId1"/>
      <headerFooter differentFirst="1" scaleWithDoc="0" alignWithMargins="0">
        <oddHeader>&amp;C&amp;P</oddHeader>
      </headerFooter>
    </customSheetView>
    <customSheetView guid="{879B1E14-7CA4-4463-9C42-4E2586107585}" scale="50" showPageBreaks="1" zeroValues="0" printArea="1" view="pageBreakPreview">
      <pane xSplit="3" ySplit="12" topLeftCell="D245" activePane="bottomRight" state="frozen"/>
      <selection pane="bottomRight" activeCell="A253" sqref="A253:D254"/>
      <rowBreaks count="2" manualBreakCount="2">
        <brk id="247" max="3" man="1"/>
        <brk id="286" max="3" man="1"/>
      </rowBreaks>
      <pageMargins left="0.98425196850393704" right="0.59055118110236227" top="0.59055118110236227" bottom="0.59055118110236227" header="0.39370078740157483" footer="0.39370078740157483"/>
      <printOptions horizontalCentered="1"/>
      <pageSetup paperSize="9" scale="43" firstPageNumber="0" fitToWidth="0" fitToHeight="0" orientation="portrait" horizontalDpi="300" verticalDpi="300" r:id="rId2"/>
      <headerFooter differentFirst="1" scaleWithDoc="0" alignWithMargins="0">
        <oddHeader>&amp;C&amp;P</oddHeader>
      </headerFooter>
    </customSheetView>
    <customSheetView guid="{C9A6F9B2-0582-46B8-BF5A-2A8D2AC01FE2}" scale="50" showPageBreaks="1" zeroValues="0" printArea="1" view="pageBreakPreview">
      <pane xSplit="3" ySplit="12" topLeftCell="D22" activePane="bottomRight" state="frozen"/>
      <selection pane="bottomRight" activeCell="D25" sqref="D25"/>
      <rowBreaks count="2" manualBreakCount="2">
        <brk id="247" max="3" man="1"/>
        <brk id="286" max="3" man="1"/>
      </rowBreaks>
      <pageMargins left="0.98425196850393704" right="0.59055118110236227" top="0.59055118110236227" bottom="0.59055118110236227" header="0.39370078740157483" footer="0.39370078740157483"/>
      <printOptions horizontalCentered="1"/>
      <pageSetup paperSize="9" scale="43" firstPageNumber="0" fitToWidth="0" fitToHeight="0" orientation="portrait" horizontalDpi="300" verticalDpi="300" r:id="rId3"/>
      <headerFooter differentFirst="1" scaleWithDoc="0" alignWithMargins="0">
        <oddHeader>&amp;C&amp;P</oddHeader>
      </headerFooter>
    </customSheetView>
  </customSheetViews>
  <mergeCells count="391">
    <mergeCell ref="B60:C60"/>
    <mergeCell ref="B87:C87"/>
    <mergeCell ref="B25:C25"/>
    <mergeCell ref="B26:C26"/>
    <mergeCell ref="B238:C238"/>
    <mergeCell ref="B311:C311"/>
    <mergeCell ref="B361:C361"/>
    <mergeCell ref="B351:C351"/>
    <mergeCell ref="B331:C331"/>
    <mergeCell ref="B342:C342"/>
    <mergeCell ref="B328:C328"/>
    <mergeCell ref="B339:C339"/>
    <mergeCell ref="B344:C344"/>
    <mergeCell ref="B334:C334"/>
    <mergeCell ref="B335:C335"/>
    <mergeCell ref="B338:C338"/>
    <mergeCell ref="B349:C349"/>
    <mergeCell ref="B341:C341"/>
    <mergeCell ref="B336:C336"/>
    <mergeCell ref="B332:C332"/>
    <mergeCell ref="B318:C318"/>
    <mergeCell ref="B329:C329"/>
    <mergeCell ref="B348:C348"/>
    <mergeCell ref="B239:C239"/>
    <mergeCell ref="B388:C388"/>
    <mergeCell ref="B387:C387"/>
    <mergeCell ref="B320:C320"/>
    <mergeCell ref="B330:C330"/>
    <mergeCell ref="B324:C324"/>
    <mergeCell ref="B322:C322"/>
    <mergeCell ref="B358:C358"/>
    <mergeCell ref="B379:C379"/>
    <mergeCell ref="B366:C366"/>
    <mergeCell ref="B371:C371"/>
    <mergeCell ref="B364:C364"/>
    <mergeCell ref="B365:C365"/>
    <mergeCell ref="B367:C367"/>
    <mergeCell ref="B374:C374"/>
    <mergeCell ref="B377:C377"/>
    <mergeCell ref="B369:C369"/>
    <mergeCell ref="B385:C385"/>
    <mergeCell ref="B386:C386"/>
    <mergeCell ref="B372:C372"/>
    <mergeCell ref="B360:C360"/>
    <mergeCell ref="B357:C357"/>
    <mergeCell ref="B380:C380"/>
    <mergeCell ref="B381:C381"/>
    <mergeCell ref="B384:C384"/>
    <mergeCell ref="B383:C383"/>
    <mergeCell ref="B382:C382"/>
    <mergeCell ref="B327:C327"/>
    <mergeCell ref="B317:C317"/>
    <mergeCell ref="B275:C275"/>
    <mergeCell ref="B319:C319"/>
    <mergeCell ref="B299:C299"/>
    <mergeCell ref="B315:C315"/>
    <mergeCell ref="B350:C350"/>
    <mergeCell ref="B343:C343"/>
    <mergeCell ref="B337:C337"/>
    <mergeCell ref="B325:C325"/>
    <mergeCell ref="B321:C321"/>
    <mergeCell ref="B359:C359"/>
    <mergeCell ref="B378:C378"/>
    <mergeCell ref="B307:C307"/>
    <mergeCell ref="B373:C373"/>
    <mergeCell ref="B375:C375"/>
    <mergeCell ref="B376:C376"/>
    <mergeCell ref="B368:C368"/>
    <mergeCell ref="B308:C308"/>
    <mergeCell ref="B353:C353"/>
    <mergeCell ref="B352:C352"/>
    <mergeCell ref="B313:C313"/>
    <mergeCell ref="B370:C370"/>
    <mergeCell ref="B356:C356"/>
    <mergeCell ref="B333:C333"/>
    <mergeCell ref="B316:C316"/>
    <mergeCell ref="B354:C354"/>
    <mergeCell ref="B355:C355"/>
    <mergeCell ref="B218:C218"/>
    <mergeCell ref="B294:C294"/>
    <mergeCell ref="B363:C363"/>
    <mergeCell ref="B242:C242"/>
    <mergeCell ref="B362:C362"/>
    <mergeCell ref="B247:C247"/>
    <mergeCell ref="B276:C276"/>
    <mergeCell ref="B289:C289"/>
    <mergeCell ref="B263:C263"/>
    <mergeCell ref="B264:C264"/>
    <mergeCell ref="B248:C248"/>
    <mergeCell ref="B246:C246"/>
    <mergeCell ref="B243:C243"/>
    <mergeCell ref="B277:C277"/>
    <mergeCell ref="B298:C298"/>
    <mergeCell ref="B245:C245"/>
    <mergeCell ref="B286:C286"/>
    <mergeCell ref="B284:C284"/>
    <mergeCell ref="B306:C306"/>
    <mergeCell ref="B295:C295"/>
    <mergeCell ref="B278:C278"/>
    <mergeCell ref="B280:C280"/>
    <mergeCell ref="B302:C302"/>
    <mergeCell ref="B304:C304"/>
    <mergeCell ref="B290:C290"/>
    <mergeCell ref="B312:C312"/>
    <mergeCell ref="B241:C241"/>
    <mergeCell ref="B282:C282"/>
    <mergeCell ref="B244:C244"/>
    <mergeCell ref="B252:C252"/>
    <mergeCell ref="B255:C255"/>
    <mergeCell ref="B257:C257"/>
    <mergeCell ref="B269:C269"/>
    <mergeCell ref="B270:C270"/>
    <mergeCell ref="B266:C266"/>
    <mergeCell ref="B279:C279"/>
    <mergeCell ref="B305:C305"/>
    <mergeCell ref="B303:C303"/>
    <mergeCell ref="B261:C261"/>
    <mergeCell ref="B260:C260"/>
    <mergeCell ref="B300:C300"/>
    <mergeCell ref="B267:C267"/>
    <mergeCell ref="B293:C293"/>
    <mergeCell ref="B254:C254"/>
    <mergeCell ref="B256:C256"/>
    <mergeCell ref="B250:C250"/>
    <mergeCell ref="B251:C251"/>
    <mergeCell ref="B230:C230"/>
    <mergeCell ref="B219:C219"/>
    <mergeCell ref="B231:C231"/>
    <mergeCell ref="B227:C227"/>
    <mergeCell ref="B229:C229"/>
    <mergeCell ref="B220:C220"/>
    <mergeCell ref="B240:C240"/>
    <mergeCell ref="B233:C233"/>
    <mergeCell ref="B236:C236"/>
    <mergeCell ref="B223:C223"/>
    <mergeCell ref="B222:C222"/>
    <mergeCell ref="B232:C232"/>
    <mergeCell ref="B258:C258"/>
    <mergeCell ref="B259:C259"/>
    <mergeCell ref="B268:C268"/>
    <mergeCell ref="B287:C287"/>
    <mergeCell ref="B292:C292"/>
    <mergeCell ref="B265:C265"/>
    <mergeCell ref="B281:C281"/>
    <mergeCell ref="B217:C217"/>
    <mergeCell ref="B198:C198"/>
    <mergeCell ref="B194:C194"/>
    <mergeCell ref="B207:C207"/>
    <mergeCell ref="B237:C237"/>
    <mergeCell ref="B213:C213"/>
    <mergeCell ref="B235:C235"/>
    <mergeCell ref="B249:C249"/>
    <mergeCell ref="B253:C253"/>
    <mergeCell ref="B197:C197"/>
    <mergeCell ref="B214:C214"/>
    <mergeCell ref="B199:C199"/>
    <mergeCell ref="B216:C216"/>
    <mergeCell ref="B193:C193"/>
    <mergeCell ref="B204:C204"/>
    <mergeCell ref="B201:C201"/>
    <mergeCell ref="B215:C215"/>
    <mergeCell ref="B210:C210"/>
    <mergeCell ref="B211:C211"/>
    <mergeCell ref="B212:C212"/>
    <mergeCell ref="B190:C190"/>
    <mergeCell ref="B200:C200"/>
    <mergeCell ref="B195:C195"/>
    <mergeCell ref="B196:C196"/>
    <mergeCell ref="B202:C202"/>
    <mergeCell ref="B209:C209"/>
    <mergeCell ref="B182:C182"/>
    <mergeCell ref="B192:C192"/>
    <mergeCell ref="B173:C173"/>
    <mergeCell ref="B183:C183"/>
    <mergeCell ref="B186:C186"/>
    <mergeCell ref="B176:C176"/>
    <mergeCell ref="B181:C181"/>
    <mergeCell ref="B171:C171"/>
    <mergeCell ref="B175:C175"/>
    <mergeCell ref="B189:C189"/>
    <mergeCell ref="B178:C178"/>
    <mergeCell ref="B180:C180"/>
    <mergeCell ref="B184:C184"/>
    <mergeCell ref="B187:C187"/>
    <mergeCell ref="B185:C185"/>
    <mergeCell ref="B159:C159"/>
    <mergeCell ref="B161:C161"/>
    <mergeCell ref="B177:C177"/>
    <mergeCell ref="B162:C162"/>
    <mergeCell ref="B158:C158"/>
    <mergeCell ref="B169:C169"/>
    <mergeCell ref="B155:C155"/>
    <mergeCell ref="B154:C154"/>
    <mergeCell ref="B157:C157"/>
    <mergeCell ref="B163:C163"/>
    <mergeCell ref="B164:C164"/>
    <mergeCell ref="B165:C165"/>
    <mergeCell ref="B166:C166"/>
    <mergeCell ref="B167:C167"/>
    <mergeCell ref="B116:C116"/>
    <mergeCell ref="B80:C80"/>
    <mergeCell ref="B108:C108"/>
    <mergeCell ref="B234:C234"/>
    <mergeCell ref="B205:C205"/>
    <mergeCell ref="B206:C206"/>
    <mergeCell ref="B224:C224"/>
    <mergeCell ref="B221:C221"/>
    <mergeCell ref="B145:C145"/>
    <mergeCell ref="B228:C228"/>
    <mergeCell ref="B225:C225"/>
    <mergeCell ref="B151:C151"/>
    <mergeCell ref="B140:C140"/>
    <mergeCell ref="B142:C142"/>
    <mergeCell ref="B141:C141"/>
    <mergeCell ref="B172:C172"/>
    <mergeCell ref="B152:C152"/>
    <mergeCell ref="B144:C144"/>
    <mergeCell ref="B208:C208"/>
    <mergeCell ref="B203:C203"/>
    <mergeCell ref="B153:C153"/>
    <mergeCell ref="B160:C160"/>
    <mergeCell ref="B191:C191"/>
    <mergeCell ref="B170:C170"/>
    <mergeCell ref="B35:C35"/>
    <mergeCell ref="B63:C63"/>
    <mergeCell ref="B70:C70"/>
    <mergeCell ref="B37:C37"/>
    <mergeCell ref="B38:C38"/>
    <mergeCell ref="B147:C147"/>
    <mergeCell ref="B113:C113"/>
    <mergeCell ref="B114:C114"/>
    <mergeCell ref="B134:C134"/>
    <mergeCell ref="B135:C135"/>
    <mergeCell ref="B143:C143"/>
    <mergeCell ref="B86:C86"/>
    <mergeCell ref="B85:C85"/>
    <mergeCell ref="B68:C68"/>
    <mergeCell ref="B72:C72"/>
    <mergeCell ref="B61:C61"/>
    <mergeCell ref="B66:C66"/>
    <mergeCell ref="B91:C91"/>
    <mergeCell ref="B62:C62"/>
    <mergeCell ref="B71:C71"/>
    <mergeCell ref="B73:C73"/>
    <mergeCell ref="B112:C112"/>
    <mergeCell ref="B106:C106"/>
    <mergeCell ref="B94:C94"/>
    <mergeCell ref="B50:C50"/>
    <mergeCell ref="B47:C47"/>
    <mergeCell ref="B48:C48"/>
    <mergeCell ref="B59:C59"/>
    <mergeCell ref="B179:C179"/>
    <mergeCell ref="B149:C149"/>
    <mergeCell ref="B150:C150"/>
    <mergeCell ref="B52:C52"/>
    <mergeCell ref="B83:C83"/>
    <mergeCell ref="B69:C69"/>
    <mergeCell ref="B109:C109"/>
    <mergeCell ref="B105:C105"/>
    <mergeCell ref="B96:C96"/>
    <mergeCell ref="B103:C103"/>
    <mergeCell ref="B101:C101"/>
    <mergeCell ref="B99:C99"/>
    <mergeCell ref="B97:C97"/>
    <mergeCell ref="B98:C98"/>
    <mergeCell ref="B102:C102"/>
    <mergeCell ref="B146:C146"/>
    <mergeCell ref="B89:C89"/>
    <mergeCell ref="B92:C92"/>
    <mergeCell ref="B82:C82"/>
    <mergeCell ref="B51:C51"/>
    <mergeCell ref="C1:D1"/>
    <mergeCell ref="B33:C33"/>
    <mergeCell ref="C2:D2"/>
    <mergeCell ref="A5:D5"/>
    <mergeCell ref="A8:D8"/>
    <mergeCell ref="D10:D12"/>
    <mergeCell ref="C3:D3"/>
    <mergeCell ref="A14:D14"/>
    <mergeCell ref="B6:C6"/>
    <mergeCell ref="B7:C7"/>
    <mergeCell ref="A10:A12"/>
    <mergeCell ref="B10:C12"/>
    <mergeCell ref="B27:C27"/>
    <mergeCell ref="B28:C28"/>
    <mergeCell ref="B17:C17"/>
    <mergeCell ref="B18:C18"/>
    <mergeCell ref="B13:C13"/>
    <mergeCell ref="B23:C23"/>
    <mergeCell ref="B24:C24"/>
    <mergeCell ref="B22:C22"/>
    <mergeCell ref="B32:C32"/>
    <mergeCell ref="B19:C19"/>
    <mergeCell ref="B20:C20"/>
    <mergeCell ref="B21:C21"/>
    <mergeCell ref="B16:C16"/>
    <mergeCell ref="B15:C15"/>
    <mergeCell ref="B31:C31"/>
    <mergeCell ref="B34:C34"/>
    <mergeCell ref="B43:C43"/>
    <mergeCell ref="B44:C44"/>
    <mergeCell ref="B119:C119"/>
    <mergeCell ref="B104:C104"/>
    <mergeCell ref="B100:C100"/>
    <mergeCell ref="B42:C42"/>
    <mergeCell ref="B55:C55"/>
    <mergeCell ref="B56:C56"/>
    <mergeCell ref="B57:C57"/>
    <mergeCell ref="B58:C58"/>
    <mergeCell ref="B39:C39"/>
    <mergeCell ref="B40:C40"/>
    <mergeCell ref="B78:C78"/>
    <mergeCell ref="B111:C111"/>
    <mergeCell ref="B36:C36"/>
    <mergeCell ref="B53:C53"/>
    <mergeCell ref="B117:C117"/>
    <mergeCell ref="B118:C118"/>
    <mergeCell ref="B54:C54"/>
    <mergeCell ref="B49:C49"/>
    <mergeCell ref="B393:C393"/>
    <mergeCell ref="B392:C392"/>
    <mergeCell ref="B391:C391"/>
    <mergeCell ref="A262:D262"/>
    <mergeCell ref="B271:C271"/>
    <mergeCell ref="B272:C272"/>
    <mergeCell ref="B273:C273"/>
    <mergeCell ref="B274:C274"/>
    <mergeCell ref="B346:C346"/>
    <mergeCell ref="B310:C310"/>
    <mergeCell ref="B345:C345"/>
    <mergeCell ref="B301:C301"/>
    <mergeCell ref="B323:C323"/>
    <mergeCell ref="B326:C326"/>
    <mergeCell ref="B296:C296"/>
    <mergeCell ref="B347:C347"/>
    <mergeCell ref="B340:C340"/>
    <mergeCell ref="B288:C288"/>
    <mergeCell ref="B283:C283"/>
    <mergeCell ref="B297:C297"/>
    <mergeCell ref="B291:C291"/>
    <mergeCell ref="B285:C285"/>
    <mergeCell ref="B309:C309"/>
    <mergeCell ref="B314:C314"/>
    <mergeCell ref="B390:C390"/>
    <mergeCell ref="B88:C88"/>
    <mergeCell ref="B107:C107"/>
    <mergeCell ref="B120:C120"/>
    <mergeCell ref="B129:C129"/>
    <mergeCell ref="B130:C130"/>
    <mergeCell ref="B136:C136"/>
    <mergeCell ref="B137:C137"/>
    <mergeCell ref="B138:C138"/>
    <mergeCell ref="B139:C139"/>
    <mergeCell ref="B131:C131"/>
    <mergeCell ref="B132:C132"/>
    <mergeCell ref="B133:C133"/>
    <mergeCell ref="B125:C125"/>
    <mergeCell ref="B128:C128"/>
    <mergeCell ref="B127:C127"/>
    <mergeCell ref="B126:C126"/>
    <mergeCell ref="B121:C121"/>
    <mergeCell ref="B115:C115"/>
    <mergeCell ref="B93:C93"/>
    <mergeCell ref="B90:C90"/>
    <mergeCell ref="B95:C95"/>
    <mergeCell ref="B110:C110"/>
    <mergeCell ref="B156:C156"/>
    <mergeCell ref="B122:C122"/>
    <mergeCell ref="B123:C123"/>
    <mergeCell ref="B226:C226"/>
    <mergeCell ref="B148:C148"/>
    <mergeCell ref="B174:C174"/>
    <mergeCell ref="B168:C168"/>
    <mergeCell ref="B29:C29"/>
    <mergeCell ref="B30:C30"/>
    <mergeCell ref="B389:C389"/>
    <mergeCell ref="B41:C41"/>
    <mergeCell ref="B64:C64"/>
    <mergeCell ref="B65:C65"/>
    <mergeCell ref="B67:C67"/>
    <mergeCell ref="B75:C75"/>
    <mergeCell ref="B124:C124"/>
    <mergeCell ref="B188:C188"/>
    <mergeCell ref="B45:C45"/>
    <mergeCell ref="B46:C46"/>
    <mergeCell ref="B74:C74"/>
    <mergeCell ref="B84:C84"/>
    <mergeCell ref="B76:C76"/>
    <mergeCell ref="B77:C77"/>
    <mergeCell ref="B79:C79"/>
    <mergeCell ref="B81:C81"/>
  </mergeCells>
  <printOptions horizontalCentered="1"/>
  <pageMargins left="0.98425196850393704" right="0.39370078740157483" top="0.78740157480314965" bottom="0.78740157480314965" header="0.39370078740157483" footer="0.39370078740157483"/>
  <pageSetup paperSize="9" scale="43" firstPageNumber="0" fitToWidth="0" fitToHeight="0" orientation="portrait" horizontalDpi="300" verticalDpi="300" r:id="rId4"/>
  <headerFooter differentFirst="1" scaleWithDoc="0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5"/>
  <sheetViews>
    <sheetView showZeros="0" tabSelected="1" view="pageBreakPreview" topLeftCell="A517" zoomScale="60" zoomScaleNormal="50" workbookViewId="0">
      <selection activeCell="R529" sqref="R529"/>
    </sheetView>
  </sheetViews>
  <sheetFormatPr defaultColWidth="9.140625" defaultRowHeight="18.75" x14ac:dyDescent="0.3"/>
  <cols>
    <col min="1" max="1" width="21.28515625" style="1" customWidth="1"/>
    <col min="2" max="2" width="21.140625" style="3" customWidth="1"/>
    <col min="3" max="3" width="72.42578125" style="1" customWidth="1"/>
    <col min="4" max="4" width="21.28515625" style="1" customWidth="1"/>
    <col min="5" max="5" width="25.85546875" style="5" customWidth="1"/>
    <col min="6" max="7" width="23.42578125" style="5" customWidth="1"/>
    <col min="8" max="8" width="25.7109375" style="5" customWidth="1"/>
    <col min="9" max="9" width="25.42578125" style="5" customWidth="1"/>
    <col min="10" max="10" width="10.28515625" style="1" customWidth="1"/>
    <col min="11" max="11" width="21" style="1" customWidth="1"/>
    <col min="12" max="16384" width="9.140625" style="1"/>
  </cols>
  <sheetData>
    <row r="1" spans="1:9" x14ac:dyDescent="0.3">
      <c r="F1" s="101"/>
      <c r="G1" s="101"/>
      <c r="H1" s="101"/>
      <c r="I1" s="101"/>
    </row>
    <row r="2" spans="1:9" x14ac:dyDescent="0.3">
      <c r="F2" s="101"/>
      <c r="G2" s="101"/>
      <c r="H2" s="101"/>
      <c r="I2" s="101"/>
    </row>
    <row r="3" spans="1:9" ht="22.5" x14ac:dyDescent="0.3">
      <c r="A3" s="62" t="s">
        <v>78</v>
      </c>
      <c r="B3" s="62"/>
      <c r="C3" s="62"/>
      <c r="D3" s="62"/>
      <c r="E3" s="62"/>
      <c r="F3" s="62"/>
      <c r="G3" s="62"/>
      <c r="H3" s="62"/>
      <c r="I3" s="62"/>
    </row>
    <row r="4" spans="1:9" x14ac:dyDescent="0.3">
      <c r="E4" s="44"/>
      <c r="F4" s="44"/>
      <c r="G4" s="44"/>
      <c r="H4" s="44"/>
      <c r="I4" s="44" t="s">
        <v>92</v>
      </c>
    </row>
    <row r="5" spans="1:9" x14ac:dyDescent="0.3">
      <c r="A5" s="108" t="s">
        <v>300</v>
      </c>
      <c r="B5" s="108" t="s">
        <v>79</v>
      </c>
      <c r="C5" s="108" t="s">
        <v>301</v>
      </c>
      <c r="D5" s="108"/>
      <c r="E5" s="82" t="s">
        <v>75</v>
      </c>
      <c r="F5" s="113" t="s">
        <v>4</v>
      </c>
      <c r="G5" s="114"/>
      <c r="H5" s="114"/>
      <c r="I5" s="115"/>
    </row>
    <row r="6" spans="1:9" ht="18.75" customHeight="1" x14ac:dyDescent="0.3">
      <c r="A6" s="108" t="s">
        <v>2</v>
      </c>
      <c r="B6" s="108"/>
      <c r="C6" s="108"/>
      <c r="D6" s="108"/>
      <c r="E6" s="82"/>
      <c r="F6" s="116"/>
      <c r="G6" s="117"/>
      <c r="H6" s="117"/>
      <c r="I6" s="118"/>
    </row>
    <row r="7" spans="1:9" ht="18.75" customHeight="1" x14ac:dyDescent="0.3">
      <c r="A7" s="108"/>
      <c r="B7" s="108"/>
      <c r="C7" s="108"/>
      <c r="D7" s="108"/>
      <c r="E7" s="82"/>
      <c r="F7" s="116"/>
      <c r="G7" s="117"/>
      <c r="H7" s="117"/>
      <c r="I7" s="118"/>
    </row>
    <row r="8" spans="1:9" ht="66" customHeight="1" x14ac:dyDescent="0.3">
      <c r="A8" s="108"/>
      <c r="B8" s="108"/>
      <c r="C8" s="108"/>
      <c r="D8" s="108"/>
      <c r="E8" s="82"/>
      <c r="F8" s="116"/>
      <c r="G8" s="117"/>
      <c r="H8" s="117"/>
      <c r="I8" s="118"/>
    </row>
    <row r="9" spans="1:9" ht="5.25" customHeight="1" x14ac:dyDescent="0.3">
      <c r="A9" s="108"/>
      <c r="B9" s="108"/>
      <c r="C9" s="108"/>
      <c r="D9" s="108"/>
      <c r="E9" s="82"/>
      <c r="F9" s="119"/>
      <c r="G9" s="120"/>
      <c r="H9" s="120"/>
      <c r="I9" s="121"/>
    </row>
    <row r="10" spans="1:9" ht="18.75" customHeight="1" x14ac:dyDescent="0.3">
      <c r="A10" s="46" t="s">
        <v>80</v>
      </c>
      <c r="B10" s="46">
        <v>2</v>
      </c>
      <c r="C10" s="108">
        <v>3</v>
      </c>
      <c r="D10" s="108"/>
      <c r="E10" s="15">
        <v>4</v>
      </c>
      <c r="F10" s="122">
        <v>5</v>
      </c>
      <c r="G10" s="123"/>
      <c r="H10" s="123"/>
      <c r="I10" s="124"/>
    </row>
    <row r="11" spans="1:9" ht="24" customHeight="1" x14ac:dyDescent="0.3">
      <c r="A11" s="88" t="s">
        <v>83</v>
      </c>
      <c r="B11" s="89"/>
      <c r="C11" s="89"/>
      <c r="D11" s="89"/>
      <c r="E11" s="89"/>
      <c r="F11" s="89"/>
      <c r="G11" s="89"/>
      <c r="H11" s="89"/>
      <c r="I11" s="90"/>
    </row>
    <row r="12" spans="1:9" s="4" customFormat="1" ht="40.5" customHeight="1" x14ac:dyDescent="0.3">
      <c r="A12" s="83"/>
      <c r="B12" s="83"/>
      <c r="C12" s="70" t="s">
        <v>138</v>
      </c>
      <c r="D12" s="70"/>
      <c r="E12" s="24"/>
      <c r="F12" s="84"/>
      <c r="G12" s="84"/>
      <c r="H12" s="84"/>
      <c r="I12" s="84"/>
    </row>
    <row r="13" spans="1:9" ht="33.75" customHeight="1" x14ac:dyDescent="0.3">
      <c r="A13" s="43">
        <v>3719110</v>
      </c>
      <c r="B13" s="18">
        <v>9110</v>
      </c>
      <c r="C13" s="93" t="s">
        <v>137</v>
      </c>
      <c r="D13" s="94"/>
      <c r="E13" s="25">
        <f>E14</f>
        <v>874996600</v>
      </c>
      <c r="F13" s="79"/>
      <c r="G13" s="80"/>
      <c r="H13" s="80"/>
      <c r="I13" s="81"/>
    </row>
    <row r="14" spans="1:9" s="6" customFormat="1" ht="33" customHeight="1" x14ac:dyDescent="0.3">
      <c r="A14" s="11">
        <v>9900000000</v>
      </c>
      <c r="B14" s="46"/>
      <c r="C14" s="71" t="s">
        <v>1</v>
      </c>
      <c r="D14" s="71"/>
      <c r="E14" s="26">
        <f>874996600</f>
        <v>874996600</v>
      </c>
      <c r="F14" s="79"/>
      <c r="G14" s="80"/>
      <c r="H14" s="80"/>
      <c r="I14" s="81"/>
    </row>
    <row r="15" spans="1:9" s="6" customFormat="1" ht="39" customHeight="1" x14ac:dyDescent="0.3">
      <c r="A15" s="83"/>
      <c r="B15" s="83"/>
      <c r="C15" s="70" t="s">
        <v>150</v>
      </c>
      <c r="D15" s="70"/>
      <c r="E15" s="24"/>
      <c r="F15" s="84"/>
      <c r="G15" s="84"/>
      <c r="H15" s="84"/>
      <c r="I15" s="84"/>
    </row>
    <row r="16" spans="1:9" ht="33.75" customHeight="1" x14ac:dyDescent="0.3">
      <c r="A16" s="47" t="s">
        <v>315</v>
      </c>
      <c r="B16" s="18">
        <v>9150</v>
      </c>
      <c r="C16" s="93" t="s">
        <v>90</v>
      </c>
      <c r="D16" s="94"/>
      <c r="E16" s="25">
        <f>E17</f>
        <v>5507488</v>
      </c>
      <c r="F16" s="79"/>
      <c r="G16" s="80"/>
      <c r="H16" s="80"/>
      <c r="I16" s="81"/>
    </row>
    <row r="17" spans="1:9" s="6" customFormat="1" ht="33" customHeight="1" x14ac:dyDescent="0.3">
      <c r="A17" s="11">
        <v>454700000</v>
      </c>
      <c r="B17" s="46"/>
      <c r="C17" s="71" t="s">
        <v>61</v>
      </c>
      <c r="D17" s="71"/>
      <c r="E17" s="26">
        <v>5507488</v>
      </c>
      <c r="F17" s="79"/>
      <c r="G17" s="80"/>
      <c r="H17" s="80"/>
      <c r="I17" s="81"/>
    </row>
    <row r="18" spans="1:9" s="4" customFormat="1" ht="39.75" customHeight="1" x14ac:dyDescent="0.3">
      <c r="A18" s="69"/>
      <c r="B18" s="69"/>
      <c r="C18" s="70" t="s">
        <v>141</v>
      </c>
      <c r="D18" s="70"/>
      <c r="E18" s="24"/>
      <c r="F18" s="84"/>
      <c r="G18" s="84"/>
      <c r="H18" s="84"/>
      <c r="I18" s="84"/>
    </row>
    <row r="19" spans="1:9" ht="33.75" customHeight="1" x14ac:dyDescent="0.3">
      <c r="A19" s="47" t="s">
        <v>274</v>
      </c>
      <c r="B19" s="18">
        <v>9150</v>
      </c>
      <c r="C19" s="93" t="s">
        <v>90</v>
      </c>
      <c r="D19" s="94"/>
      <c r="E19" s="25">
        <f>SUM(E20:E43)</f>
        <v>9399699.4100000001</v>
      </c>
      <c r="F19" s="79"/>
      <c r="G19" s="80"/>
      <c r="H19" s="80"/>
      <c r="I19" s="81"/>
    </row>
    <row r="20" spans="1:9" s="6" customFormat="1" ht="33" customHeight="1" x14ac:dyDescent="0.3">
      <c r="A20" s="12">
        <v>410000000</v>
      </c>
      <c r="B20" s="43"/>
      <c r="C20" s="86" t="s">
        <v>0</v>
      </c>
      <c r="D20" s="86"/>
      <c r="E20" s="25">
        <f>25.08+21.86+22.95</f>
        <v>69.89</v>
      </c>
      <c r="F20" s="79"/>
      <c r="G20" s="80"/>
      <c r="H20" s="80"/>
      <c r="I20" s="81"/>
    </row>
    <row r="21" spans="1:9" s="6" customFormat="1" ht="33" customHeight="1" x14ac:dyDescent="0.3">
      <c r="A21" s="11">
        <v>457400000</v>
      </c>
      <c r="B21" s="46"/>
      <c r="C21" s="71" t="s">
        <v>15</v>
      </c>
      <c r="D21" s="71"/>
      <c r="E21" s="26">
        <f>12074.06+15604.72+20453.43</f>
        <v>48132.21</v>
      </c>
      <c r="F21" s="75"/>
      <c r="G21" s="76"/>
      <c r="H21" s="76"/>
      <c r="I21" s="77"/>
    </row>
    <row r="22" spans="1:9" ht="33" customHeight="1" x14ac:dyDescent="0.3">
      <c r="A22" s="11">
        <v>457600000</v>
      </c>
      <c r="B22" s="46"/>
      <c r="C22" s="71" t="s">
        <v>17</v>
      </c>
      <c r="D22" s="71"/>
      <c r="E22" s="26">
        <f>6688.22+9971.99+17920.95</f>
        <v>34581.160000000003</v>
      </c>
      <c r="F22" s="75"/>
      <c r="G22" s="76"/>
      <c r="H22" s="76"/>
      <c r="I22" s="77"/>
    </row>
    <row r="23" spans="1:9" ht="33" customHeight="1" x14ac:dyDescent="0.3">
      <c r="A23" s="11">
        <v>457700000</v>
      </c>
      <c r="B23" s="46"/>
      <c r="C23" s="71" t="s">
        <v>18</v>
      </c>
      <c r="D23" s="71"/>
      <c r="E23" s="26">
        <f>183694.57+391711.14+516244.94</f>
        <v>1091650.6499999999</v>
      </c>
      <c r="F23" s="75"/>
      <c r="G23" s="76"/>
      <c r="H23" s="76"/>
      <c r="I23" s="77"/>
    </row>
    <row r="24" spans="1:9" ht="33" customHeight="1" x14ac:dyDescent="0.3">
      <c r="A24" s="11">
        <v>457100000</v>
      </c>
      <c r="B24" s="46"/>
      <c r="C24" s="71" t="s">
        <v>111</v>
      </c>
      <c r="D24" s="71"/>
      <c r="E24" s="26">
        <f>100497.59+274311.89+271005.59</f>
        <v>645815.07000000007</v>
      </c>
      <c r="F24" s="75"/>
      <c r="G24" s="76"/>
      <c r="H24" s="76"/>
      <c r="I24" s="77"/>
    </row>
    <row r="25" spans="1:9" ht="33" customHeight="1" x14ac:dyDescent="0.3">
      <c r="A25" s="11">
        <v>457810000</v>
      </c>
      <c r="B25" s="46"/>
      <c r="C25" s="71" t="s">
        <v>19</v>
      </c>
      <c r="D25" s="71"/>
      <c r="E25" s="26">
        <f>186901.32+502249.74+665987.74</f>
        <v>1355138.8</v>
      </c>
      <c r="F25" s="75"/>
      <c r="G25" s="76"/>
      <c r="H25" s="76"/>
      <c r="I25" s="77"/>
    </row>
    <row r="26" spans="1:9" ht="33" customHeight="1" x14ac:dyDescent="0.3">
      <c r="A26" s="11">
        <v>458100000</v>
      </c>
      <c r="B26" s="46"/>
      <c r="C26" s="71" t="s">
        <v>21</v>
      </c>
      <c r="D26" s="71"/>
      <c r="E26" s="26">
        <f>130767.92+225029.28+333169.25</f>
        <v>688966.45</v>
      </c>
      <c r="F26" s="75"/>
      <c r="G26" s="76"/>
      <c r="H26" s="76"/>
      <c r="I26" s="77"/>
    </row>
    <row r="27" spans="1:9" ht="33" customHeight="1" x14ac:dyDescent="0.3">
      <c r="A27" s="11">
        <v>458400000</v>
      </c>
      <c r="B27" s="46"/>
      <c r="C27" s="71" t="s">
        <v>24</v>
      </c>
      <c r="D27" s="71"/>
      <c r="E27" s="26">
        <f>274861.85+412573.96+665286.97</f>
        <v>1352722.78</v>
      </c>
      <c r="F27" s="75"/>
      <c r="G27" s="76"/>
      <c r="H27" s="76"/>
      <c r="I27" s="77"/>
    </row>
    <row r="28" spans="1:9" ht="33" customHeight="1" x14ac:dyDescent="0.3">
      <c r="A28" s="11">
        <v>458500000</v>
      </c>
      <c r="B28" s="46"/>
      <c r="C28" s="71" t="s">
        <v>25</v>
      </c>
      <c r="D28" s="71"/>
      <c r="E28" s="26">
        <f>251264.83+190364.61</f>
        <v>441629.43999999994</v>
      </c>
      <c r="F28" s="82"/>
      <c r="G28" s="82"/>
      <c r="H28" s="82"/>
      <c r="I28" s="82"/>
    </row>
    <row r="29" spans="1:9" ht="33" customHeight="1" x14ac:dyDescent="0.3">
      <c r="A29" s="11">
        <v>456200000</v>
      </c>
      <c r="B29" s="46"/>
      <c r="C29" s="71" t="s">
        <v>32</v>
      </c>
      <c r="D29" s="71"/>
      <c r="E29" s="26">
        <f>53055.06+94520.72+142033.73</f>
        <v>289609.51</v>
      </c>
      <c r="F29" s="75"/>
      <c r="G29" s="76"/>
      <c r="H29" s="76"/>
      <c r="I29" s="77"/>
    </row>
    <row r="30" spans="1:9" ht="33" customHeight="1" x14ac:dyDescent="0.3">
      <c r="A30" s="11">
        <v>453500000</v>
      </c>
      <c r="B30" s="46"/>
      <c r="C30" s="71" t="s">
        <v>6</v>
      </c>
      <c r="D30" s="71"/>
      <c r="E30" s="26">
        <f>14121.12+25610.95+33047.21</f>
        <v>72779.28</v>
      </c>
      <c r="F30" s="75"/>
      <c r="G30" s="76"/>
      <c r="H30" s="76"/>
      <c r="I30" s="77"/>
    </row>
    <row r="31" spans="1:9" ht="33" customHeight="1" x14ac:dyDescent="0.3">
      <c r="A31" s="11" t="s">
        <v>164</v>
      </c>
      <c r="B31" s="46"/>
      <c r="C31" s="71" t="s">
        <v>165</v>
      </c>
      <c r="D31" s="71"/>
      <c r="E31" s="26">
        <f>10601.72+18400.02+22195.83</f>
        <v>51197.57</v>
      </c>
      <c r="F31" s="75"/>
      <c r="G31" s="76"/>
      <c r="H31" s="76"/>
      <c r="I31" s="77"/>
    </row>
    <row r="32" spans="1:9" ht="33" customHeight="1" x14ac:dyDescent="0.3">
      <c r="A32" s="11" t="s">
        <v>181</v>
      </c>
      <c r="B32" s="46"/>
      <c r="C32" s="71" t="s">
        <v>182</v>
      </c>
      <c r="D32" s="71"/>
      <c r="E32" s="26">
        <f>27646.52+33996.9+34086.3</f>
        <v>95729.72</v>
      </c>
      <c r="F32" s="82"/>
      <c r="G32" s="82"/>
      <c r="H32" s="82"/>
      <c r="I32" s="82"/>
    </row>
    <row r="33" spans="1:9" ht="33" customHeight="1" x14ac:dyDescent="0.3">
      <c r="A33" s="11">
        <v>456500000</v>
      </c>
      <c r="B33" s="46"/>
      <c r="C33" s="71" t="s">
        <v>9</v>
      </c>
      <c r="D33" s="71"/>
      <c r="E33" s="26">
        <f>97304.19+254482+277651.95</f>
        <v>629438.14</v>
      </c>
      <c r="F33" s="82"/>
      <c r="G33" s="82"/>
      <c r="H33" s="82"/>
      <c r="I33" s="82"/>
    </row>
    <row r="34" spans="1:9" ht="33" customHeight="1" x14ac:dyDescent="0.3">
      <c r="A34" s="11">
        <v>454400000</v>
      </c>
      <c r="B34" s="46"/>
      <c r="C34" s="71" t="s">
        <v>87</v>
      </c>
      <c r="D34" s="71"/>
      <c r="E34" s="26">
        <f>72416.17+136169.36+248887.81</f>
        <v>457473.33999999997</v>
      </c>
      <c r="F34" s="75"/>
      <c r="G34" s="76"/>
      <c r="H34" s="76"/>
      <c r="I34" s="77"/>
    </row>
    <row r="35" spans="1:9" ht="33" customHeight="1" x14ac:dyDescent="0.3">
      <c r="A35" s="11">
        <v>451200000</v>
      </c>
      <c r="B35" s="46"/>
      <c r="C35" s="71" t="s">
        <v>40</v>
      </c>
      <c r="D35" s="71"/>
      <c r="E35" s="26">
        <f>102353.09+12429.13+21179.34</f>
        <v>135961.56</v>
      </c>
      <c r="F35" s="82"/>
      <c r="G35" s="82"/>
      <c r="H35" s="82"/>
      <c r="I35" s="82"/>
    </row>
    <row r="36" spans="1:9" ht="33" customHeight="1" x14ac:dyDescent="0.3">
      <c r="A36" s="11">
        <v>454300000</v>
      </c>
      <c r="B36" s="46"/>
      <c r="C36" s="71" t="s">
        <v>59</v>
      </c>
      <c r="D36" s="71"/>
      <c r="E36" s="26">
        <f>30822.05+67890.99+83175.82</f>
        <v>181888.86000000002</v>
      </c>
      <c r="F36" s="82"/>
      <c r="G36" s="82"/>
      <c r="H36" s="82"/>
      <c r="I36" s="82"/>
    </row>
    <row r="37" spans="1:9" ht="33" customHeight="1" x14ac:dyDescent="0.3">
      <c r="A37" s="11">
        <v>452300000</v>
      </c>
      <c r="B37" s="46"/>
      <c r="C37" s="71" t="s">
        <v>47</v>
      </c>
      <c r="D37" s="71"/>
      <c r="E37" s="26">
        <f>30548.23+115158.01+185233.21</f>
        <v>330939.44999999995</v>
      </c>
      <c r="F37" s="82"/>
      <c r="G37" s="82"/>
      <c r="H37" s="82"/>
      <c r="I37" s="82"/>
    </row>
    <row r="38" spans="1:9" ht="33" customHeight="1" x14ac:dyDescent="0.3">
      <c r="A38" s="11">
        <v>458800000</v>
      </c>
      <c r="B38" s="46"/>
      <c r="C38" s="71" t="s">
        <v>28</v>
      </c>
      <c r="D38" s="71"/>
      <c r="E38" s="26">
        <f>62947.65+101397.83+130718.74</f>
        <v>295064.22000000003</v>
      </c>
      <c r="F38" s="82"/>
      <c r="G38" s="82"/>
      <c r="H38" s="82"/>
      <c r="I38" s="82"/>
    </row>
    <row r="39" spans="1:9" s="2" customFormat="1" ht="33" customHeight="1" x14ac:dyDescent="0.3">
      <c r="A39" s="11">
        <v>452500000</v>
      </c>
      <c r="B39" s="46"/>
      <c r="C39" s="71" t="s">
        <v>49</v>
      </c>
      <c r="D39" s="71"/>
      <c r="E39" s="28">
        <f>13591.22+28195.81+46893.64</f>
        <v>88680.67</v>
      </c>
      <c r="F39" s="75"/>
      <c r="G39" s="76"/>
      <c r="H39" s="76"/>
      <c r="I39" s="77"/>
    </row>
    <row r="40" spans="1:9" s="2" customFormat="1" ht="33" customHeight="1" x14ac:dyDescent="0.3">
      <c r="A40" s="11">
        <v>452600000</v>
      </c>
      <c r="B40" s="46"/>
      <c r="C40" s="71" t="s">
        <v>50</v>
      </c>
      <c r="D40" s="71"/>
      <c r="E40" s="28">
        <f>15557.22+21252.93+18742.33</f>
        <v>55552.480000000003</v>
      </c>
      <c r="F40" s="75"/>
      <c r="G40" s="76"/>
      <c r="H40" s="76"/>
      <c r="I40" s="77"/>
    </row>
    <row r="41" spans="1:9" ht="33" customHeight="1" x14ac:dyDescent="0.3">
      <c r="A41" s="11">
        <v>452700000</v>
      </c>
      <c r="B41" s="46"/>
      <c r="C41" s="71" t="s">
        <v>51</v>
      </c>
      <c r="D41" s="71"/>
      <c r="E41" s="26">
        <f>111083.64+216949.74+552432.25</f>
        <v>880465.63</v>
      </c>
      <c r="F41" s="82"/>
      <c r="G41" s="82"/>
      <c r="H41" s="82"/>
      <c r="I41" s="82"/>
    </row>
    <row r="42" spans="1:9" s="2" customFormat="1" ht="33" customHeight="1" x14ac:dyDescent="0.3">
      <c r="A42" s="11">
        <v>456700000</v>
      </c>
      <c r="B42" s="46"/>
      <c r="C42" s="71" t="s">
        <v>11</v>
      </c>
      <c r="D42" s="71"/>
      <c r="E42" s="28">
        <f>67562.85</f>
        <v>67562.850000000006</v>
      </c>
      <c r="F42" s="75"/>
      <c r="G42" s="76"/>
      <c r="H42" s="76"/>
      <c r="I42" s="77"/>
    </row>
    <row r="43" spans="1:9" s="2" customFormat="1" ht="33" customHeight="1" x14ac:dyDescent="0.3">
      <c r="A43" s="11">
        <v>455200000</v>
      </c>
      <c r="B43" s="46"/>
      <c r="C43" s="71" t="s">
        <v>64</v>
      </c>
      <c r="D43" s="71"/>
      <c r="E43" s="28">
        <f>31105.26+51901.7+25642.72</f>
        <v>108649.68</v>
      </c>
      <c r="F43" s="75"/>
      <c r="G43" s="76"/>
      <c r="H43" s="76"/>
      <c r="I43" s="77"/>
    </row>
    <row r="44" spans="1:9" s="4" customFormat="1" ht="40.5" customHeight="1" x14ac:dyDescent="0.3">
      <c r="A44" s="83"/>
      <c r="B44" s="83"/>
      <c r="C44" s="70" t="s">
        <v>138</v>
      </c>
      <c r="D44" s="70"/>
      <c r="E44" s="24"/>
      <c r="F44" s="84"/>
      <c r="G44" s="84"/>
      <c r="H44" s="84"/>
      <c r="I44" s="84"/>
    </row>
    <row r="45" spans="1:9" ht="33.75" customHeight="1" x14ac:dyDescent="0.3">
      <c r="A45" s="43" t="s">
        <v>89</v>
      </c>
      <c r="B45" s="18">
        <v>9150</v>
      </c>
      <c r="C45" s="93" t="s">
        <v>90</v>
      </c>
      <c r="D45" s="94"/>
      <c r="E45" s="25">
        <f>SUM(E46:E55)</f>
        <v>100000000</v>
      </c>
      <c r="F45" s="79"/>
      <c r="G45" s="80"/>
      <c r="H45" s="80"/>
      <c r="I45" s="81"/>
    </row>
    <row r="46" spans="1:9" s="6" customFormat="1" ht="33" customHeight="1" x14ac:dyDescent="0.3">
      <c r="A46" s="12">
        <v>410000000</v>
      </c>
      <c r="B46" s="43"/>
      <c r="C46" s="86" t="s">
        <v>0</v>
      </c>
      <c r="D46" s="86"/>
      <c r="E46" s="25">
        <f>100000000-1500000-2000000-50000000-10000000-5000000-4000000-3416000</f>
        <v>24084000</v>
      </c>
      <c r="F46" s="79"/>
      <c r="G46" s="80"/>
      <c r="H46" s="80"/>
      <c r="I46" s="81"/>
    </row>
    <row r="47" spans="1:9" ht="33" customHeight="1" x14ac:dyDescent="0.3">
      <c r="A47" s="11">
        <v>457600000</v>
      </c>
      <c r="B47" s="46"/>
      <c r="C47" s="71" t="s">
        <v>17</v>
      </c>
      <c r="D47" s="71"/>
      <c r="E47" s="26">
        <f>15000000</f>
        <v>15000000</v>
      </c>
      <c r="F47" s="75"/>
      <c r="G47" s="76"/>
      <c r="H47" s="76"/>
      <c r="I47" s="77"/>
    </row>
    <row r="48" spans="1:9" ht="33" customHeight="1" x14ac:dyDescent="0.3">
      <c r="A48" s="11">
        <v>457810000</v>
      </c>
      <c r="B48" s="46"/>
      <c r="C48" s="71" t="s">
        <v>19</v>
      </c>
      <c r="D48" s="71"/>
      <c r="E48" s="26">
        <f>30000000</f>
        <v>30000000</v>
      </c>
      <c r="F48" s="75"/>
      <c r="G48" s="76"/>
      <c r="H48" s="76"/>
      <c r="I48" s="77"/>
    </row>
    <row r="49" spans="1:9" ht="33" customHeight="1" x14ac:dyDescent="0.3">
      <c r="A49" s="11">
        <v>458100000</v>
      </c>
      <c r="B49" s="46"/>
      <c r="C49" s="71" t="s">
        <v>21</v>
      </c>
      <c r="D49" s="71"/>
      <c r="E49" s="26">
        <f>3000000+10000000</f>
        <v>13000000</v>
      </c>
      <c r="F49" s="75"/>
      <c r="G49" s="76"/>
      <c r="H49" s="76"/>
      <c r="I49" s="77"/>
    </row>
    <row r="50" spans="1:9" ht="33" customHeight="1" x14ac:dyDescent="0.3">
      <c r="A50" s="11">
        <v>458200000</v>
      </c>
      <c r="B50" s="46"/>
      <c r="C50" s="71" t="s">
        <v>22</v>
      </c>
      <c r="D50" s="71"/>
      <c r="E50" s="28">
        <v>4000000</v>
      </c>
      <c r="F50" s="75"/>
      <c r="G50" s="76"/>
      <c r="H50" s="76"/>
      <c r="I50" s="77"/>
    </row>
    <row r="51" spans="1:9" ht="33" customHeight="1" x14ac:dyDescent="0.3">
      <c r="A51" s="11">
        <v>452900000</v>
      </c>
      <c r="B51" s="46"/>
      <c r="C51" s="71" t="s">
        <v>52</v>
      </c>
      <c r="D51" s="71"/>
      <c r="E51" s="28">
        <f>5000000</f>
        <v>5000000</v>
      </c>
      <c r="F51" s="75"/>
      <c r="G51" s="76"/>
      <c r="H51" s="76"/>
      <c r="I51" s="77"/>
    </row>
    <row r="52" spans="1:9" ht="33" customHeight="1" x14ac:dyDescent="0.3">
      <c r="A52" s="11" t="s">
        <v>181</v>
      </c>
      <c r="B52" s="46"/>
      <c r="C52" s="71" t="s">
        <v>182</v>
      </c>
      <c r="D52" s="71"/>
      <c r="E52" s="28">
        <v>3416000</v>
      </c>
      <c r="F52" s="75"/>
      <c r="G52" s="76"/>
      <c r="H52" s="76"/>
      <c r="I52" s="77"/>
    </row>
    <row r="53" spans="1:9" ht="33" customHeight="1" x14ac:dyDescent="0.3">
      <c r="A53" s="11">
        <v>453100000</v>
      </c>
      <c r="B53" s="46"/>
      <c r="C53" s="71" t="s">
        <v>54</v>
      </c>
      <c r="D53" s="71"/>
      <c r="E53" s="28">
        <f>1000000</f>
        <v>1000000</v>
      </c>
      <c r="F53" s="75"/>
      <c r="G53" s="76"/>
      <c r="H53" s="76"/>
      <c r="I53" s="77"/>
    </row>
    <row r="54" spans="1:9" s="6" customFormat="1" ht="33" customHeight="1" x14ac:dyDescent="0.3">
      <c r="A54" s="11">
        <v>453700000</v>
      </c>
      <c r="B54" s="46"/>
      <c r="C54" s="71" t="s">
        <v>56</v>
      </c>
      <c r="D54" s="71"/>
      <c r="E54" s="28">
        <f>1500000+1000000</f>
        <v>2500000</v>
      </c>
      <c r="F54" s="79"/>
      <c r="G54" s="80"/>
      <c r="H54" s="80"/>
      <c r="I54" s="81"/>
    </row>
    <row r="55" spans="1:9" s="6" customFormat="1" ht="33" customHeight="1" x14ac:dyDescent="0.3">
      <c r="A55" s="11" t="s">
        <v>172</v>
      </c>
      <c r="B55" s="46"/>
      <c r="C55" s="71" t="s">
        <v>171</v>
      </c>
      <c r="D55" s="71"/>
      <c r="E55" s="28">
        <f>2000000</f>
        <v>2000000</v>
      </c>
      <c r="F55" s="79"/>
      <c r="G55" s="80"/>
      <c r="H55" s="80"/>
      <c r="I55" s="81"/>
    </row>
    <row r="56" spans="1:9" s="6" customFormat="1" ht="40.5" customHeight="1" x14ac:dyDescent="0.3">
      <c r="A56" s="12"/>
      <c r="B56" s="43"/>
      <c r="C56" s="86" t="s">
        <v>245</v>
      </c>
      <c r="D56" s="86"/>
      <c r="E56" s="25"/>
      <c r="F56" s="74"/>
      <c r="G56" s="74"/>
      <c r="H56" s="74"/>
      <c r="I56" s="74"/>
    </row>
    <row r="57" spans="1:9" s="6" customFormat="1" ht="126.75" customHeight="1" x14ac:dyDescent="0.3">
      <c r="A57" s="132">
        <v>5119245</v>
      </c>
      <c r="B57" s="111">
        <v>9245</v>
      </c>
      <c r="C57" s="102" t="s">
        <v>244</v>
      </c>
      <c r="D57" s="103"/>
      <c r="E57" s="106">
        <f>SUM(E59:E115)</f>
        <v>35925624</v>
      </c>
      <c r="F57" s="98" t="s">
        <v>296</v>
      </c>
      <c r="G57" s="100"/>
      <c r="H57" s="98" t="s">
        <v>297</v>
      </c>
      <c r="I57" s="100"/>
    </row>
    <row r="58" spans="1:9" s="6" customFormat="1" ht="32.25" customHeight="1" x14ac:dyDescent="0.3">
      <c r="A58" s="133"/>
      <c r="B58" s="112"/>
      <c r="C58" s="104"/>
      <c r="D58" s="105"/>
      <c r="E58" s="107"/>
      <c r="F58" s="98">
        <f>SUM(F59:G115)</f>
        <v>35837713</v>
      </c>
      <c r="G58" s="100"/>
      <c r="H58" s="98">
        <f>SUM(H59:I115)</f>
        <v>87911</v>
      </c>
      <c r="I58" s="100"/>
    </row>
    <row r="59" spans="1:9" s="6" customFormat="1" ht="33" customHeight="1" x14ac:dyDescent="0.3">
      <c r="A59" s="12">
        <v>410000000</v>
      </c>
      <c r="B59" s="43"/>
      <c r="C59" s="86" t="s">
        <v>0</v>
      </c>
      <c r="D59" s="86"/>
      <c r="E59" s="25">
        <f>F59+H59</f>
        <v>9298253</v>
      </c>
      <c r="F59" s="78">
        <f>10528236-329274-96488-773847-92145+245720-145236-38713</f>
        <v>9298253</v>
      </c>
      <c r="G59" s="78"/>
      <c r="H59" s="78"/>
      <c r="I59" s="78"/>
    </row>
    <row r="60" spans="1:9" s="6" customFormat="1" ht="33" customHeight="1" x14ac:dyDescent="0.3">
      <c r="A60" s="11">
        <v>457400000</v>
      </c>
      <c r="B60" s="46"/>
      <c r="C60" s="71" t="s">
        <v>15</v>
      </c>
      <c r="D60" s="71"/>
      <c r="E60" s="26">
        <f>F60+H60</f>
        <v>122860</v>
      </c>
      <c r="F60" s="82">
        <f>122860</f>
        <v>122860</v>
      </c>
      <c r="G60" s="82"/>
      <c r="H60" s="82"/>
      <c r="I60" s="82"/>
    </row>
    <row r="61" spans="1:9" ht="33" customHeight="1" x14ac:dyDescent="0.3">
      <c r="A61" s="11">
        <v>457600000</v>
      </c>
      <c r="B61" s="46"/>
      <c r="C61" s="71" t="s">
        <v>17</v>
      </c>
      <c r="D61" s="71"/>
      <c r="E61" s="26">
        <f t="shared" ref="E61:E115" si="0">F61+H61</f>
        <v>1746521</v>
      </c>
      <c r="F61" s="82">
        <f>1597180+61430</f>
        <v>1658610</v>
      </c>
      <c r="G61" s="82"/>
      <c r="H61" s="82">
        <f>36336+51575</f>
        <v>87911</v>
      </c>
      <c r="I61" s="82"/>
    </row>
    <row r="62" spans="1:9" ht="33" customHeight="1" x14ac:dyDescent="0.3">
      <c r="A62" s="11">
        <v>457700000</v>
      </c>
      <c r="B62" s="46"/>
      <c r="C62" s="71" t="s">
        <v>18</v>
      </c>
      <c r="D62" s="71"/>
      <c r="E62" s="26">
        <f t="shared" si="0"/>
        <v>1237589</v>
      </c>
      <c r="F62" s="82">
        <f>654004+368580+215005</f>
        <v>1237589</v>
      </c>
      <c r="G62" s="82"/>
      <c r="H62" s="82"/>
      <c r="I62" s="82"/>
    </row>
    <row r="63" spans="1:9" ht="33" customHeight="1" x14ac:dyDescent="0.3">
      <c r="A63" s="11">
        <v>457100000</v>
      </c>
      <c r="B63" s="46"/>
      <c r="C63" s="71" t="s">
        <v>111</v>
      </c>
      <c r="D63" s="71"/>
      <c r="E63" s="26">
        <f t="shared" si="0"/>
        <v>1842900</v>
      </c>
      <c r="F63" s="82">
        <f>737160+1105740</f>
        <v>1842900</v>
      </c>
      <c r="G63" s="82"/>
      <c r="H63" s="82"/>
      <c r="I63" s="82"/>
    </row>
    <row r="64" spans="1:9" ht="33" customHeight="1" x14ac:dyDescent="0.3">
      <c r="A64" s="11">
        <v>457810000</v>
      </c>
      <c r="B64" s="46"/>
      <c r="C64" s="71" t="s">
        <v>19</v>
      </c>
      <c r="D64" s="71"/>
      <c r="E64" s="26">
        <f t="shared" si="0"/>
        <v>1932254</v>
      </c>
      <c r="F64" s="82">
        <f>737160+982880+212214</f>
        <v>1932254</v>
      </c>
      <c r="G64" s="82"/>
      <c r="H64" s="82"/>
      <c r="I64" s="82"/>
    </row>
    <row r="65" spans="1:9" ht="33" customHeight="1" x14ac:dyDescent="0.3">
      <c r="A65" s="11">
        <v>456100000</v>
      </c>
      <c r="B65" s="46"/>
      <c r="C65" s="71" t="s">
        <v>31</v>
      </c>
      <c r="D65" s="71"/>
      <c r="E65" s="26">
        <f t="shared" si="0"/>
        <v>864365</v>
      </c>
      <c r="F65" s="82">
        <f>495785+368580</f>
        <v>864365</v>
      </c>
      <c r="G65" s="82"/>
      <c r="H65" s="82"/>
      <c r="I65" s="82"/>
    </row>
    <row r="66" spans="1:9" ht="33" customHeight="1" x14ac:dyDescent="0.3">
      <c r="A66" s="11">
        <v>458100000</v>
      </c>
      <c r="B66" s="46"/>
      <c r="C66" s="71" t="s">
        <v>21</v>
      </c>
      <c r="D66" s="71"/>
      <c r="E66" s="26">
        <f t="shared" si="0"/>
        <v>982880</v>
      </c>
      <c r="F66" s="82">
        <f>491440+368580+122860</f>
        <v>982880</v>
      </c>
      <c r="G66" s="82"/>
      <c r="H66" s="82"/>
      <c r="I66" s="82"/>
    </row>
    <row r="67" spans="1:9" ht="33" customHeight="1" x14ac:dyDescent="0.3">
      <c r="A67" s="11">
        <v>458200000</v>
      </c>
      <c r="B67" s="46"/>
      <c r="C67" s="71" t="s">
        <v>22</v>
      </c>
      <c r="D67" s="71"/>
      <c r="E67" s="26">
        <f t="shared" si="0"/>
        <v>387300</v>
      </c>
      <c r="F67" s="82">
        <f>141580+245720</f>
        <v>387300</v>
      </c>
      <c r="G67" s="82"/>
      <c r="H67" s="82"/>
      <c r="I67" s="82"/>
    </row>
    <row r="68" spans="1:9" ht="33" customHeight="1" x14ac:dyDescent="0.3">
      <c r="A68" s="11">
        <v>458500000</v>
      </c>
      <c r="B68" s="46"/>
      <c r="C68" s="71" t="s">
        <v>25</v>
      </c>
      <c r="D68" s="71"/>
      <c r="E68" s="26">
        <f t="shared" si="0"/>
        <v>368580</v>
      </c>
      <c r="F68" s="82">
        <f>245720+122860</f>
        <v>368580</v>
      </c>
      <c r="G68" s="82"/>
      <c r="H68" s="82"/>
      <c r="I68" s="82"/>
    </row>
    <row r="69" spans="1:9" ht="33" customHeight="1" x14ac:dyDescent="0.3">
      <c r="A69" s="11">
        <v>456200000</v>
      </c>
      <c r="B69" s="46"/>
      <c r="C69" s="71" t="s">
        <v>32</v>
      </c>
      <c r="D69" s="71"/>
      <c r="E69" s="26">
        <f t="shared" si="0"/>
        <v>276435</v>
      </c>
      <c r="F69" s="82">
        <f>153575+122860</f>
        <v>276435</v>
      </c>
      <c r="G69" s="82"/>
      <c r="H69" s="82"/>
      <c r="I69" s="82"/>
    </row>
    <row r="70" spans="1:9" ht="33" customHeight="1" x14ac:dyDescent="0.3">
      <c r="A70" s="11">
        <v>458900000</v>
      </c>
      <c r="B70" s="46"/>
      <c r="C70" s="71" t="s">
        <v>29</v>
      </c>
      <c r="D70" s="71"/>
      <c r="E70" s="26">
        <f t="shared" ref="E70" si="1">F70</f>
        <v>572300</v>
      </c>
      <c r="F70" s="82">
        <f>368580+73120+77508+53092</f>
        <v>572300</v>
      </c>
      <c r="G70" s="82"/>
      <c r="H70" s="82"/>
      <c r="I70" s="82"/>
    </row>
    <row r="71" spans="1:9" ht="33" customHeight="1" x14ac:dyDescent="0.3">
      <c r="A71" s="11">
        <v>459100000</v>
      </c>
      <c r="B71" s="46"/>
      <c r="C71" s="71" t="s">
        <v>30</v>
      </c>
      <c r="D71" s="71"/>
      <c r="E71" s="26">
        <f t="shared" ref="E71" si="2">F71+H71</f>
        <v>122860</v>
      </c>
      <c r="F71" s="82">
        <f>122860</f>
        <v>122860</v>
      </c>
      <c r="G71" s="82"/>
      <c r="H71" s="82"/>
      <c r="I71" s="82"/>
    </row>
    <row r="72" spans="1:9" ht="33" customHeight="1" x14ac:dyDescent="0.3">
      <c r="A72" s="11">
        <v>451800000</v>
      </c>
      <c r="B72" s="46"/>
      <c r="C72" s="71" t="s">
        <v>35</v>
      </c>
      <c r="D72" s="71"/>
      <c r="E72" s="28">
        <f>F72+H72</f>
        <v>122860</v>
      </c>
      <c r="F72" s="82">
        <f>122860</f>
        <v>122860</v>
      </c>
      <c r="G72" s="82"/>
      <c r="H72" s="82"/>
      <c r="I72" s="82"/>
    </row>
    <row r="73" spans="1:9" s="6" customFormat="1" ht="33" customHeight="1" x14ac:dyDescent="0.3">
      <c r="A73" s="11">
        <v>451900000</v>
      </c>
      <c r="B73" s="46"/>
      <c r="C73" s="71" t="s">
        <v>44</v>
      </c>
      <c r="D73" s="71"/>
      <c r="E73" s="26">
        <f t="shared" si="0"/>
        <v>869368</v>
      </c>
      <c r="F73" s="82">
        <f>491440+377928</f>
        <v>869368</v>
      </c>
      <c r="G73" s="82"/>
      <c r="H73" s="82"/>
      <c r="I73" s="82"/>
    </row>
    <row r="74" spans="1:9" ht="33" customHeight="1" x14ac:dyDescent="0.3">
      <c r="A74" s="11">
        <v>450300000</v>
      </c>
      <c r="B74" s="46"/>
      <c r="C74" s="71" t="s">
        <v>36</v>
      </c>
      <c r="D74" s="71"/>
      <c r="E74" s="26">
        <f t="shared" si="0"/>
        <v>399295</v>
      </c>
      <c r="F74" s="82">
        <f>153575+122860+122860</f>
        <v>399295</v>
      </c>
      <c r="G74" s="82"/>
      <c r="H74" s="82"/>
      <c r="I74" s="82"/>
    </row>
    <row r="75" spans="1:9" ht="33" customHeight="1" x14ac:dyDescent="0.3">
      <c r="A75" s="11">
        <v>457300000</v>
      </c>
      <c r="B75" s="46"/>
      <c r="C75" s="71" t="s">
        <v>101</v>
      </c>
      <c r="D75" s="71"/>
      <c r="E75" s="26">
        <f t="shared" si="0"/>
        <v>122860</v>
      </c>
      <c r="F75" s="82">
        <f>122860</f>
        <v>122860</v>
      </c>
      <c r="G75" s="82"/>
      <c r="H75" s="82"/>
      <c r="I75" s="82"/>
    </row>
    <row r="76" spans="1:9" ht="33" customHeight="1" x14ac:dyDescent="0.3">
      <c r="A76" s="11">
        <v>453600000</v>
      </c>
      <c r="B76" s="46"/>
      <c r="C76" s="71" t="s">
        <v>55</v>
      </c>
      <c r="D76" s="71"/>
      <c r="E76" s="26">
        <f t="shared" si="0"/>
        <v>138218</v>
      </c>
      <c r="F76" s="82">
        <f>122860+15358</f>
        <v>138218</v>
      </c>
      <c r="G76" s="82"/>
      <c r="H76" s="82"/>
      <c r="I76" s="82"/>
    </row>
    <row r="77" spans="1:9" ht="33" customHeight="1" x14ac:dyDescent="0.3">
      <c r="A77" s="11">
        <v>456300000</v>
      </c>
      <c r="B77" s="46"/>
      <c r="C77" s="71" t="s">
        <v>7</v>
      </c>
      <c r="D77" s="71"/>
      <c r="E77" s="26">
        <f t="shared" si="0"/>
        <v>276435</v>
      </c>
      <c r="F77" s="82">
        <f>153575+122860</f>
        <v>276435</v>
      </c>
      <c r="G77" s="82"/>
      <c r="H77" s="82"/>
      <c r="I77" s="82"/>
    </row>
    <row r="78" spans="1:9" s="6" customFormat="1" ht="33" customHeight="1" x14ac:dyDescent="0.3">
      <c r="A78" s="11">
        <v>457500000</v>
      </c>
      <c r="B78" s="46"/>
      <c r="C78" s="71" t="s">
        <v>16</v>
      </c>
      <c r="D78" s="71"/>
      <c r="E78" s="26">
        <f t="shared" si="0"/>
        <v>522155</v>
      </c>
      <c r="F78" s="82">
        <f>245720+122860+153575</f>
        <v>522155</v>
      </c>
      <c r="G78" s="82"/>
      <c r="H78" s="82"/>
      <c r="I78" s="82"/>
    </row>
    <row r="79" spans="1:9" ht="33" customHeight="1" x14ac:dyDescent="0.3">
      <c r="A79" s="11">
        <v>455600000</v>
      </c>
      <c r="B79" s="46"/>
      <c r="C79" s="71" t="s">
        <v>68</v>
      </c>
      <c r="D79" s="71"/>
      <c r="E79" s="26">
        <f t="shared" si="0"/>
        <v>276435</v>
      </c>
      <c r="F79" s="82">
        <f>153575+122860</f>
        <v>276435</v>
      </c>
      <c r="G79" s="82"/>
      <c r="H79" s="82"/>
      <c r="I79" s="82"/>
    </row>
    <row r="80" spans="1:9" ht="33" customHeight="1" x14ac:dyDescent="0.3">
      <c r="A80" s="11">
        <v>453500000</v>
      </c>
      <c r="B80" s="46"/>
      <c r="C80" s="71" t="s">
        <v>6</v>
      </c>
      <c r="D80" s="71"/>
      <c r="E80" s="26">
        <f t="shared" si="0"/>
        <v>307150</v>
      </c>
      <c r="F80" s="75">
        <f>184290+122860</f>
        <v>307150</v>
      </c>
      <c r="G80" s="77"/>
      <c r="H80" s="75"/>
      <c r="I80" s="77"/>
    </row>
    <row r="81" spans="1:9" ht="33" customHeight="1" x14ac:dyDescent="0.3">
      <c r="A81" s="11" t="s">
        <v>164</v>
      </c>
      <c r="B81" s="46"/>
      <c r="C81" s="71" t="s">
        <v>165</v>
      </c>
      <c r="D81" s="71"/>
      <c r="E81" s="26">
        <f>F81+H81</f>
        <v>46072</v>
      </c>
      <c r="F81" s="75">
        <f>46072</f>
        <v>46072</v>
      </c>
      <c r="G81" s="77"/>
      <c r="H81" s="75"/>
      <c r="I81" s="77"/>
    </row>
    <row r="82" spans="1:9" ht="33" customHeight="1" x14ac:dyDescent="0.3">
      <c r="A82" s="11">
        <v>450600000</v>
      </c>
      <c r="B82" s="46"/>
      <c r="C82" s="71" t="s">
        <v>37</v>
      </c>
      <c r="D82" s="71"/>
      <c r="E82" s="26">
        <f t="shared" si="0"/>
        <v>122860</v>
      </c>
      <c r="F82" s="82">
        <f>122860</f>
        <v>122860</v>
      </c>
      <c r="G82" s="82"/>
      <c r="H82" s="82"/>
      <c r="I82" s="82"/>
    </row>
    <row r="83" spans="1:9" ht="33" customHeight="1" x14ac:dyDescent="0.3">
      <c r="A83" s="11">
        <v>454700000</v>
      </c>
      <c r="B83" s="46"/>
      <c r="C83" s="71" t="s">
        <v>61</v>
      </c>
      <c r="D83" s="71"/>
      <c r="E83" s="28">
        <f>F83+H83</f>
        <v>46072</v>
      </c>
      <c r="F83" s="82">
        <f>46072</f>
        <v>46072</v>
      </c>
      <c r="G83" s="82"/>
      <c r="H83" s="82"/>
      <c r="I83" s="82"/>
    </row>
    <row r="84" spans="1:9" ht="33" customHeight="1" x14ac:dyDescent="0.3">
      <c r="A84" s="11">
        <v>452100000</v>
      </c>
      <c r="B84" s="46"/>
      <c r="C84" s="71" t="s">
        <v>46</v>
      </c>
      <c r="D84" s="71"/>
      <c r="E84" s="26">
        <f t="shared" si="0"/>
        <v>122860</v>
      </c>
      <c r="F84" s="82">
        <f>122860</f>
        <v>122860</v>
      </c>
      <c r="G84" s="82"/>
      <c r="H84" s="82"/>
      <c r="I84" s="82"/>
    </row>
    <row r="85" spans="1:9" ht="33" customHeight="1" x14ac:dyDescent="0.3">
      <c r="A85" s="11" t="s">
        <v>181</v>
      </c>
      <c r="B85" s="46"/>
      <c r="C85" s="71" t="s">
        <v>182</v>
      </c>
      <c r="D85" s="71"/>
      <c r="E85" s="26">
        <f>F85+H85</f>
        <v>276435</v>
      </c>
      <c r="F85" s="82">
        <f>153575+122860</f>
        <v>276435</v>
      </c>
      <c r="G85" s="82"/>
      <c r="H85" s="82"/>
      <c r="I85" s="82"/>
    </row>
    <row r="86" spans="1:9" ht="33" customHeight="1" x14ac:dyDescent="0.3">
      <c r="A86" s="11">
        <v>455700000</v>
      </c>
      <c r="B86" s="46"/>
      <c r="C86" s="71" t="s">
        <v>69</v>
      </c>
      <c r="D86" s="71"/>
      <c r="E86" s="26">
        <f t="shared" si="0"/>
        <v>276435</v>
      </c>
      <c r="F86" s="82">
        <f>153575+122860</f>
        <v>276435</v>
      </c>
      <c r="G86" s="82"/>
      <c r="H86" s="82"/>
      <c r="I86" s="82"/>
    </row>
    <row r="87" spans="1:9" ht="33" customHeight="1" x14ac:dyDescent="0.3">
      <c r="A87" s="11">
        <v>457900000</v>
      </c>
      <c r="B87" s="46"/>
      <c r="C87" s="71" t="s">
        <v>20</v>
      </c>
      <c r="D87" s="71"/>
      <c r="E87" s="26">
        <f t="shared" si="0"/>
        <v>982880</v>
      </c>
      <c r="F87" s="82">
        <f>737160+245720</f>
        <v>982880</v>
      </c>
      <c r="G87" s="82"/>
      <c r="H87" s="82"/>
      <c r="I87" s="82"/>
    </row>
    <row r="88" spans="1:9" ht="33" customHeight="1" x14ac:dyDescent="0.3">
      <c r="A88" s="11">
        <v>456500000</v>
      </c>
      <c r="B88" s="46"/>
      <c r="C88" s="71" t="s">
        <v>9</v>
      </c>
      <c r="D88" s="71"/>
      <c r="E88" s="26">
        <f t="shared" si="0"/>
        <v>368580</v>
      </c>
      <c r="F88" s="82">
        <f>245720+122860</f>
        <v>368580</v>
      </c>
      <c r="G88" s="82"/>
      <c r="H88" s="82"/>
      <c r="I88" s="82"/>
    </row>
    <row r="89" spans="1:9" ht="33" customHeight="1" x14ac:dyDescent="0.3">
      <c r="A89" s="11">
        <v>454100000</v>
      </c>
      <c r="B89" s="46"/>
      <c r="C89" s="71" t="s">
        <v>73</v>
      </c>
      <c r="D89" s="71"/>
      <c r="E89" s="26">
        <f t="shared" si="0"/>
        <v>276435</v>
      </c>
      <c r="F89" s="82">
        <f>153575+122860</f>
        <v>276435</v>
      </c>
      <c r="G89" s="82"/>
      <c r="H89" s="82"/>
      <c r="I89" s="82"/>
    </row>
    <row r="90" spans="1:9" s="6" customFormat="1" ht="33" customHeight="1" x14ac:dyDescent="0.3">
      <c r="A90" s="11">
        <v>453700000</v>
      </c>
      <c r="B90" s="46"/>
      <c r="C90" s="71" t="s">
        <v>56</v>
      </c>
      <c r="D90" s="71"/>
      <c r="E90" s="26">
        <f t="shared" si="0"/>
        <v>122860</v>
      </c>
      <c r="F90" s="82">
        <f>122860</f>
        <v>122860</v>
      </c>
      <c r="G90" s="82"/>
      <c r="H90" s="82"/>
      <c r="I90" s="82"/>
    </row>
    <row r="91" spans="1:9" ht="33" customHeight="1" x14ac:dyDescent="0.3">
      <c r="A91" s="11">
        <v>458000000</v>
      </c>
      <c r="B91" s="46"/>
      <c r="C91" s="71" t="s">
        <v>88</v>
      </c>
      <c r="D91" s="71"/>
      <c r="E91" s="26">
        <f t="shared" si="0"/>
        <v>368580</v>
      </c>
      <c r="F91" s="82">
        <f>245720+122860</f>
        <v>368580</v>
      </c>
      <c r="G91" s="82"/>
      <c r="H91" s="82"/>
      <c r="I91" s="82"/>
    </row>
    <row r="92" spans="1:9" ht="33" customHeight="1" x14ac:dyDescent="0.3">
      <c r="A92" s="11">
        <v>454400000</v>
      </c>
      <c r="B92" s="46"/>
      <c r="C92" s="71" t="s">
        <v>87</v>
      </c>
      <c r="D92" s="71"/>
      <c r="E92" s="26">
        <f t="shared" si="0"/>
        <v>307150</v>
      </c>
      <c r="F92" s="82">
        <f>184290+122860</f>
        <v>307150</v>
      </c>
      <c r="G92" s="82"/>
      <c r="H92" s="82"/>
      <c r="I92" s="82"/>
    </row>
    <row r="93" spans="1:9" ht="33" customHeight="1" x14ac:dyDescent="0.3">
      <c r="A93" s="11">
        <v>451100000</v>
      </c>
      <c r="B93" s="46"/>
      <c r="C93" s="71" t="s">
        <v>74</v>
      </c>
      <c r="D93" s="71"/>
      <c r="E93" s="26">
        <f t="shared" si="0"/>
        <v>285787</v>
      </c>
      <c r="F93" s="82">
        <f>153575+132212</f>
        <v>285787</v>
      </c>
      <c r="G93" s="82"/>
      <c r="H93" s="82"/>
      <c r="I93" s="82"/>
    </row>
    <row r="94" spans="1:9" ht="33" customHeight="1" x14ac:dyDescent="0.3">
      <c r="A94" s="11">
        <v>451200000</v>
      </c>
      <c r="B94" s="46"/>
      <c r="C94" s="71" t="s">
        <v>40</v>
      </c>
      <c r="D94" s="71"/>
      <c r="E94" s="26">
        <f t="shared" si="0"/>
        <v>552870</v>
      </c>
      <c r="F94" s="82">
        <f>307150+245720</f>
        <v>552870</v>
      </c>
      <c r="G94" s="82"/>
      <c r="H94" s="82"/>
      <c r="I94" s="82"/>
    </row>
    <row r="95" spans="1:9" ht="33" customHeight="1" x14ac:dyDescent="0.3">
      <c r="A95" s="11">
        <v>456600000</v>
      </c>
      <c r="B95" s="46"/>
      <c r="C95" s="71" t="s">
        <v>10</v>
      </c>
      <c r="D95" s="71"/>
      <c r="E95" s="26">
        <f t="shared" si="0"/>
        <v>765204</v>
      </c>
      <c r="F95" s="82">
        <f>510136+255068</f>
        <v>765204</v>
      </c>
      <c r="G95" s="82"/>
      <c r="H95" s="82"/>
      <c r="I95" s="82"/>
    </row>
    <row r="96" spans="1:9" ht="33" customHeight="1" x14ac:dyDescent="0.3">
      <c r="A96" s="11">
        <v>455800000</v>
      </c>
      <c r="B96" s="46"/>
      <c r="C96" s="71" t="s">
        <v>70</v>
      </c>
      <c r="D96" s="71"/>
      <c r="E96" s="26">
        <f t="shared" si="0"/>
        <v>368580</v>
      </c>
      <c r="F96" s="82">
        <f>245720+122860</f>
        <v>368580</v>
      </c>
      <c r="G96" s="82"/>
      <c r="H96" s="82"/>
      <c r="I96" s="82"/>
    </row>
    <row r="97" spans="1:9" ht="33" customHeight="1" x14ac:dyDescent="0.3">
      <c r="A97" s="11">
        <v>454300000</v>
      </c>
      <c r="B97" s="46"/>
      <c r="C97" s="71" t="s">
        <v>59</v>
      </c>
      <c r="D97" s="71"/>
      <c r="E97" s="26">
        <f t="shared" si="0"/>
        <v>419991</v>
      </c>
      <c r="F97" s="82">
        <f>264424+132212+23355</f>
        <v>419991</v>
      </c>
      <c r="G97" s="82"/>
      <c r="H97" s="82"/>
      <c r="I97" s="82"/>
    </row>
    <row r="98" spans="1:9" ht="33" customHeight="1" x14ac:dyDescent="0.3">
      <c r="A98" s="11">
        <v>458600000</v>
      </c>
      <c r="B98" s="46"/>
      <c r="C98" s="71" t="s">
        <v>26</v>
      </c>
      <c r="D98" s="71"/>
      <c r="E98" s="26">
        <f t="shared" si="0"/>
        <v>368580</v>
      </c>
      <c r="F98" s="82">
        <f>245720+122860</f>
        <v>368580</v>
      </c>
      <c r="G98" s="82"/>
      <c r="H98" s="82"/>
      <c r="I98" s="82"/>
    </row>
    <row r="99" spans="1:9" s="6" customFormat="1" ht="33" customHeight="1" x14ac:dyDescent="0.3">
      <c r="A99" s="11">
        <v>456800000</v>
      </c>
      <c r="B99" s="46"/>
      <c r="C99" s="71" t="s">
        <v>12</v>
      </c>
      <c r="D99" s="71"/>
      <c r="E99" s="28">
        <f>F99+H99</f>
        <v>153575</v>
      </c>
      <c r="F99" s="82">
        <f>122860+30715</f>
        <v>153575</v>
      </c>
      <c r="G99" s="82"/>
      <c r="H99" s="82"/>
      <c r="I99" s="82"/>
    </row>
    <row r="100" spans="1:9" ht="33" customHeight="1" x14ac:dyDescent="0.3">
      <c r="A100" s="11">
        <v>455900000</v>
      </c>
      <c r="B100" s="46"/>
      <c r="C100" s="71" t="s">
        <v>71</v>
      </c>
      <c r="D100" s="71"/>
      <c r="E100" s="26">
        <f t="shared" si="0"/>
        <v>276435</v>
      </c>
      <c r="F100" s="82">
        <f>153575+122860</f>
        <v>276435</v>
      </c>
      <c r="G100" s="82"/>
      <c r="H100" s="82"/>
      <c r="I100" s="82"/>
    </row>
    <row r="101" spans="1:9" ht="33" customHeight="1" x14ac:dyDescent="0.3">
      <c r="A101" s="11">
        <v>452300000</v>
      </c>
      <c r="B101" s="46"/>
      <c r="C101" s="71" t="s">
        <v>47</v>
      </c>
      <c r="D101" s="71"/>
      <c r="E101" s="26">
        <f t="shared" si="0"/>
        <v>286869</v>
      </c>
      <c r="F101" s="82">
        <f>153575+122860+10434</f>
        <v>286869</v>
      </c>
      <c r="G101" s="82"/>
      <c r="H101" s="82"/>
      <c r="I101" s="82"/>
    </row>
    <row r="102" spans="1:9" ht="33" customHeight="1" x14ac:dyDescent="0.3">
      <c r="A102" s="11">
        <v>458800000</v>
      </c>
      <c r="B102" s="46"/>
      <c r="C102" s="71" t="s">
        <v>28</v>
      </c>
      <c r="D102" s="71"/>
      <c r="E102" s="26">
        <f t="shared" si="0"/>
        <v>616023</v>
      </c>
      <c r="F102" s="82">
        <f>342235+273788</f>
        <v>616023</v>
      </c>
      <c r="G102" s="82"/>
      <c r="H102" s="82"/>
      <c r="I102" s="82"/>
    </row>
    <row r="103" spans="1:9" ht="33" customHeight="1" x14ac:dyDescent="0.3">
      <c r="A103" s="11">
        <v>454600000</v>
      </c>
      <c r="B103" s="46"/>
      <c r="C103" s="71" t="s">
        <v>60</v>
      </c>
      <c r="D103" s="71"/>
      <c r="E103" s="26">
        <f t="shared" si="0"/>
        <v>176975</v>
      </c>
      <c r="F103" s="82">
        <f>122860+30715+23400</f>
        <v>176975</v>
      </c>
      <c r="G103" s="82"/>
      <c r="H103" s="82"/>
      <c r="I103" s="82"/>
    </row>
    <row r="104" spans="1:9" ht="33" customHeight="1" x14ac:dyDescent="0.3">
      <c r="A104" s="11">
        <v>455500000</v>
      </c>
      <c r="B104" s="46"/>
      <c r="C104" s="71" t="s">
        <v>67</v>
      </c>
      <c r="D104" s="71"/>
      <c r="E104" s="26">
        <f t="shared" si="0"/>
        <v>535846</v>
      </c>
      <c r="F104" s="82">
        <f>122860+377928+35058</f>
        <v>535846</v>
      </c>
      <c r="G104" s="82"/>
      <c r="H104" s="82"/>
      <c r="I104" s="82"/>
    </row>
    <row r="105" spans="1:9" ht="33" customHeight="1" x14ac:dyDescent="0.3">
      <c r="A105" s="11">
        <v>451500000</v>
      </c>
      <c r="B105" s="46"/>
      <c r="C105" s="71" t="s">
        <v>42</v>
      </c>
      <c r="D105" s="71"/>
      <c r="E105" s="26">
        <f t="shared" si="0"/>
        <v>644940</v>
      </c>
      <c r="F105" s="82">
        <f>399220+245720</f>
        <v>644940</v>
      </c>
      <c r="G105" s="82"/>
      <c r="H105" s="82"/>
      <c r="I105" s="82"/>
    </row>
    <row r="106" spans="1:9" s="2" customFormat="1" ht="33" customHeight="1" x14ac:dyDescent="0.3">
      <c r="A106" s="11">
        <v>451300000</v>
      </c>
      <c r="B106" s="46"/>
      <c r="C106" s="71" t="s">
        <v>41</v>
      </c>
      <c r="D106" s="71"/>
      <c r="E106" s="26">
        <f t="shared" si="0"/>
        <v>318840</v>
      </c>
      <c r="F106" s="82">
        <f>195980+122860</f>
        <v>318840</v>
      </c>
      <c r="G106" s="82"/>
      <c r="H106" s="82"/>
      <c r="I106" s="82"/>
    </row>
    <row r="107" spans="1:9" s="2" customFormat="1" ht="33" customHeight="1" x14ac:dyDescent="0.3">
      <c r="A107" s="11">
        <v>452500000</v>
      </c>
      <c r="B107" s="46"/>
      <c r="C107" s="71" t="s">
        <v>49</v>
      </c>
      <c r="D107" s="71"/>
      <c r="E107" s="26">
        <f t="shared" si="0"/>
        <v>153575</v>
      </c>
      <c r="F107" s="82">
        <f>122860+30715</f>
        <v>153575</v>
      </c>
      <c r="G107" s="82"/>
      <c r="H107" s="82"/>
      <c r="I107" s="82"/>
    </row>
    <row r="108" spans="1:9" ht="33" customHeight="1" x14ac:dyDescent="0.3">
      <c r="A108" s="11">
        <v>452600000</v>
      </c>
      <c r="B108" s="46"/>
      <c r="C108" s="71" t="s">
        <v>50</v>
      </c>
      <c r="D108" s="71"/>
      <c r="E108" s="26">
        <f t="shared" si="0"/>
        <v>1340872</v>
      </c>
      <c r="F108" s="82">
        <f>1095152+245720</f>
        <v>1340872</v>
      </c>
      <c r="G108" s="82"/>
      <c r="H108" s="82"/>
      <c r="I108" s="82"/>
    </row>
    <row r="109" spans="1:9" ht="33" customHeight="1" x14ac:dyDescent="0.3">
      <c r="A109" s="11">
        <v>452700000</v>
      </c>
      <c r="B109" s="46"/>
      <c r="C109" s="71" t="s">
        <v>51</v>
      </c>
      <c r="D109" s="71"/>
      <c r="E109" s="26">
        <f t="shared" si="0"/>
        <v>737160</v>
      </c>
      <c r="F109" s="82">
        <f>491440+245720</f>
        <v>737160</v>
      </c>
      <c r="G109" s="82"/>
      <c r="H109" s="82"/>
      <c r="I109" s="82"/>
    </row>
    <row r="110" spans="1:9" s="2" customFormat="1" ht="33" customHeight="1" x14ac:dyDescent="0.3">
      <c r="A110" s="11">
        <v>454000000</v>
      </c>
      <c r="B110" s="46"/>
      <c r="C110" s="71" t="s">
        <v>57</v>
      </c>
      <c r="D110" s="71"/>
      <c r="E110" s="26">
        <f t="shared" si="0"/>
        <v>311375</v>
      </c>
      <c r="F110" s="82">
        <f>188515+122860</f>
        <v>311375</v>
      </c>
      <c r="G110" s="82"/>
      <c r="H110" s="82"/>
      <c r="I110" s="82"/>
    </row>
    <row r="111" spans="1:9" s="2" customFormat="1" ht="33" customHeight="1" x14ac:dyDescent="0.3">
      <c r="A111" s="11">
        <v>457000000</v>
      </c>
      <c r="B111" s="46"/>
      <c r="C111" s="71" t="s">
        <v>13</v>
      </c>
      <c r="D111" s="71"/>
      <c r="E111" s="26">
        <f t="shared" si="0"/>
        <v>368580</v>
      </c>
      <c r="F111" s="82">
        <f>245720+122860</f>
        <v>368580</v>
      </c>
      <c r="G111" s="82"/>
      <c r="H111" s="82"/>
      <c r="I111" s="82"/>
    </row>
    <row r="112" spans="1:9" s="2" customFormat="1" ht="33" customHeight="1" x14ac:dyDescent="0.3">
      <c r="A112" s="11">
        <v>456700000</v>
      </c>
      <c r="B112" s="46"/>
      <c r="C112" s="71" t="s">
        <v>11</v>
      </c>
      <c r="D112" s="71"/>
      <c r="E112" s="26">
        <f t="shared" si="0"/>
        <v>245720</v>
      </c>
      <c r="F112" s="82">
        <f>122860+122860</f>
        <v>245720</v>
      </c>
      <c r="G112" s="82"/>
      <c r="H112" s="82"/>
      <c r="I112" s="82"/>
    </row>
    <row r="113" spans="1:9" s="2" customFormat="1" ht="33" customHeight="1" x14ac:dyDescent="0.3">
      <c r="A113" s="11" t="s">
        <v>237</v>
      </c>
      <c r="B113" s="46"/>
      <c r="C113" s="71" t="s">
        <v>238</v>
      </c>
      <c r="D113" s="71"/>
      <c r="E113" s="26">
        <f t="shared" si="0"/>
        <v>179614</v>
      </c>
      <c r="F113" s="82">
        <f>122860-66106+122860</f>
        <v>179614</v>
      </c>
      <c r="G113" s="82"/>
      <c r="H113" s="82"/>
      <c r="I113" s="82"/>
    </row>
    <row r="114" spans="1:9" s="2" customFormat="1" ht="33" customHeight="1" x14ac:dyDescent="0.3">
      <c r="A114" s="11">
        <v>455100000</v>
      </c>
      <c r="B114" s="46"/>
      <c r="C114" s="71" t="s">
        <v>63</v>
      </c>
      <c r="D114" s="71"/>
      <c r="E114" s="26">
        <f t="shared" si="0"/>
        <v>522155</v>
      </c>
      <c r="F114" s="82">
        <f>153575+245720+122860</f>
        <v>522155</v>
      </c>
      <c r="G114" s="82"/>
      <c r="H114" s="82"/>
      <c r="I114" s="82"/>
    </row>
    <row r="115" spans="1:9" s="2" customFormat="1" ht="33" customHeight="1" x14ac:dyDescent="0.3">
      <c r="A115" s="11">
        <v>455200000</v>
      </c>
      <c r="B115" s="46"/>
      <c r="C115" s="71" t="s">
        <v>64</v>
      </c>
      <c r="D115" s="71"/>
      <c r="E115" s="26">
        <f t="shared" si="0"/>
        <v>188966</v>
      </c>
      <c r="F115" s="82">
        <f>66106+122860</f>
        <v>188966</v>
      </c>
      <c r="G115" s="82"/>
      <c r="H115" s="82"/>
      <c r="I115" s="82"/>
    </row>
    <row r="116" spans="1:9" s="4" customFormat="1" ht="39.75" customHeight="1" x14ac:dyDescent="0.3">
      <c r="A116" s="69"/>
      <c r="B116" s="69"/>
      <c r="C116" s="70" t="s">
        <v>141</v>
      </c>
      <c r="D116" s="70"/>
      <c r="E116" s="24"/>
      <c r="F116" s="84"/>
      <c r="G116" s="84"/>
      <c r="H116" s="84"/>
      <c r="I116" s="84"/>
    </row>
    <row r="117" spans="1:9" ht="308.25" customHeight="1" x14ac:dyDescent="0.3">
      <c r="A117" s="17" t="s">
        <v>276</v>
      </c>
      <c r="B117" s="18">
        <v>9246</v>
      </c>
      <c r="C117" s="93" t="s">
        <v>328</v>
      </c>
      <c r="D117" s="94"/>
      <c r="E117" s="25">
        <f>SUM(E118:E139)</f>
        <v>214897747.99999994</v>
      </c>
      <c r="F117" s="87" t="s">
        <v>116</v>
      </c>
      <c r="G117" s="87"/>
      <c r="H117" s="87"/>
      <c r="I117" s="87"/>
    </row>
    <row r="118" spans="1:9" s="6" customFormat="1" ht="33" customHeight="1" x14ac:dyDescent="0.3">
      <c r="A118" s="12">
        <v>410000000</v>
      </c>
      <c r="B118" s="43"/>
      <c r="C118" s="86" t="s">
        <v>0</v>
      </c>
      <c r="D118" s="86"/>
      <c r="E118" s="25">
        <f>F118</f>
        <v>487614.0500000001</v>
      </c>
      <c r="F118" s="91">
        <f>28.07+98659.8+1814314.36-1419282.36-6105.82</f>
        <v>487614.0500000001</v>
      </c>
      <c r="G118" s="92"/>
      <c r="H118" s="92"/>
      <c r="I118" s="97"/>
    </row>
    <row r="119" spans="1:9" s="6" customFormat="1" ht="33" customHeight="1" x14ac:dyDescent="0.3">
      <c r="A119" s="11">
        <v>457400000</v>
      </c>
      <c r="B119" s="46"/>
      <c r="C119" s="71" t="s">
        <v>15</v>
      </c>
      <c r="D119" s="71"/>
      <c r="E119" s="26">
        <f>F119</f>
        <v>2987600.0700000003</v>
      </c>
      <c r="F119" s="75">
        <f>3495467.81-477991.74-29876</f>
        <v>2987600.0700000003</v>
      </c>
      <c r="G119" s="76"/>
      <c r="H119" s="76"/>
      <c r="I119" s="77"/>
    </row>
    <row r="120" spans="1:9" ht="33" customHeight="1" x14ac:dyDescent="0.3">
      <c r="A120" s="11">
        <v>457600000</v>
      </c>
      <c r="B120" s="46"/>
      <c r="C120" s="71" t="s">
        <v>17</v>
      </c>
      <c r="D120" s="71"/>
      <c r="E120" s="26">
        <f t="shared" ref="E120:E139" si="3">F120</f>
        <v>57112144.849999994</v>
      </c>
      <c r="F120" s="75">
        <f>43031690.1-853600.02-2641021.84+17575076.61</f>
        <v>57112144.849999994</v>
      </c>
      <c r="G120" s="76"/>
      <c r="H120" s="76"/>
      <c r="I120" s="77"/>
    </row>
    <row r="121" spans="1:9" ht="33" customHeight="1" x14ac:dyDescent="0.3">
      <c r="A121" s="11">
        <v>457100000</v>
      </c>
      <c r="B121" s="46"/>
      <c r="C121" s="71" t="s">
        <v>111</v>
      </c>
      <c r="D121" s="71"/>
      <c r="E121" s="26">
        <f t="shared" si="3"/>
        <v>5550854.5800000001</v>
      </c>
      <c r="F121" s="75">
        <f>5556960.4-6105.82-6105.82+6105.82</f>
        <v>5550854.5800000001</v>
      </c>
      <c r="G121" s="76"/>
      <c r="H121" s="76"/>
      <c r="I121" s="77"/>
    </row>
    <row r="122" spans="1:9" ht="33" customHeight="1" x14ac:dyDescent="0.3">
      <c r="A122" s="11">
        <v>457810000</v>
      </c>
      <c r="B122" s="46"/>
      <c r="C122" s="71" t="s">
        <v>19</v>
      </c>
      <c r="D122" s="71"/>
      <c r="E122" s="26">
        <f t="shared" si="3"/>
        <v>56717605.68</v>
      </c>
      <c r="F122" s="75">
        <f>31232111.91+1372037.49+24113456.28</f>
        <v>56717605.68</v>
      </c>
      <c r="G122" s="76"/>
      <c r="H122" s="76"/>
      <c r="I122" s="77"/>
    </row>
    <row r="123" spans="1:9" ht="33" customHeight="1" x14ac:dyDescent="0.3">
      <c r="A123" s="11">
        <v>456100000</v>
      </c>
      <c r="B123" s="46"/>
      <c r="C123" s="71" t="s">
        <v>31</v>
      </c>
      <c r="D123" s="71"/>
      <c r="E123" s="26">
        <f t="shared" ref="E123" si="4">F123+H123</f>
        <v>5075034.1900000004</v>
      </c>
      <c r="F123" s="75">
        <f>5075034.19</f>
        <v>5075034.1900000004</v>
      </c>
      <c r="G123" s="76"/>
      <c r="H123" s="76"/>
      <c r="I123" s="77"/>
    </row>
    <row r="124" spans="1:9" ht="33" customHeight="1" x14ac:dyDescent="0.3">
      <c r="A124" s="11">
        <v>458200000</v>
      </c>
      <c r="B124" s="46"/>
      <c r="C124" s="71" t="s">
        <v>22</v>
      </c>
      <c r="D124" s="71"/>
      <c r="E124" s="26">
        <f t="shared" si="3"/>
        <v>7069763.6099999994</v>
      </c>
      <c r="F124" s="75">
        <f>5028681.84+2041081.77</f>
        <v>7069763.6099999994</v>
      </c>
      <c r="G124" s="76"/>
      <c r="H124" s="76"/>
      <c r="I124" s="77"/>
    </row>
    <row r="125" spans="1:9" ht="33" customHeight="1" x14ac:dyDescent="0.3">
      <c r="A125" s="11">
        <v>458400000</v>
      </c>
      <c r="B125" s="46"/>
      <c r="C125" s="71" t="s">
        <v>24</v>
      </c>
      <c r="D125" s="71"/>
      <c r="E125" s="26">
        <f t="shared" si="3"/>
        <v>21931630.260000002</v>
      </c>
      <c r="F125" s="75">
        <f>18944030.19+2987600.07</f>
        <v>21931630.260000002</v>
      </c>
      <c r="G125" s="76"/>
      <c r="H125" s="76"/>
      <c r="I125" s="77"/>
    </row>
    <row r="126" spans="1:9" ht="33" customHeight="1" x14ac:dyDescent="0.3">
      <c r="A126" s="11">
        <v>458500000</v>
      </c>
      <c r="B126" s="46"/>
      <c r="C126" s="71" t="s">
        <v>25</v>
      </c>
      <c r="D126" s="71"/>
      <c r="E126" s="26">
        <f t="shared" si="3"/>
        <v>4143395.99</v>
      </c>
      <c r="F126" s="82">
        <f>4204628.44-61232.45</f>
        <v>4143395.99</v>
      </c>
      <c r="G126" s="82"/>
      <c r="H126" s="82"/>
      <c r="I126" s="82"/>
    </row>
    <row r="127" spans="1:9" ht="33" customHeight="1" x14ac:dyDescent="0.3">
      <c r="A127" s="11">
        <v>456200000</v>
      </c>
      <c r="B127" s="46"/>
      <c r="C127" s="71" t="s">
        <v>32</v>
      </c>
      <c r="D127" s="71"/>
      <c r="E127" s="26">
        <f t="shared" si="3"/>
        <v>2584742.4700000002</v>
      </c>
      <c r="F127" s="75">
        <f>2584742.47</f>
        <v>2584742.4700000002</v>
      </c>
      <c r="G127" s="76"/>
      <c r="H127" s="76"/>
      <c r="I127" s="77"/>
    </row>
    <row r="128" spans="1:9" ht="33" customHeight="1" x14ac:dyDescent="0.3">
      <c r="A128" s="11">
        <v>458900000</v>
      </c>
      <c r="B128" s="46"/>
      <c r="C128" s="71" t="s">
        <v>29</v>
      </c>
      <c r="D128" s="71"/>
      <c r="E128" s="26">
        <f t="shared" si="3"/>
        <v>2704338</v>
      </c>
      <c r="F128" s="75">
        <f>2704338</f>
        <v>2704338</v>
      </c>
      <c r="G128" s="76"/>
      <c r="H128" s="76"/>
      <c r="I128" s="77"/>
    </row>
    <row r="129" spans="1:9" ht="33" customHeight="1" x14ac:dyDescent="0.3">
      <c r="A129" s="11">
        <v>459100000</v>
      </c>
      <c r="B129" s="46"/>
      <c r="C129" s="71" t="s">
        <v>30</v>
      </c>
      <c r="D129" s="71"/>
      <c r="E129" s="26">
        <f t="shared" ref="E129" si="5">F129+H129</f>
        <v>4555422.6900000004</v>
      </c>
      <c r="F129" s="75">
        <f>4555422.69</f>
        <v>4555422.6900000004</v>
      </c>
      <c r="G129" s="76"/>
      <c r="H129" s="76"/>
      <c r="I129" s="77"/>
    </row>
    <row r="130" spans="1:9" ht="33" customHeight="1" x14ac:dyDescent="0.3">
      <c r="A130" s="11">
        <v>451900000</v>
      </c>
      <c r="B130" s="46"/>
      <c r="C130" s="71" t="s">
        <v>44</v>
      </c>
      <c r="D130" s="71"/>
      <c r="E130" s="26">
        <f t="shared" si="3"/>
        <v>2091903.41</v>
      </c>
      <c r="F130" s="75">
        <f>2091903.41</f>
        <v>2091903.41</v>
      </c>
      <c r="G130" s="76"/>
      <c r="H130" s="76"/>
      <c r="I130" s="77"/>
    </row>
    <row r="131" spans="1:9" ht="33" customHeight="1" x14ac:dyDescent="0.3">
      <c r="A131" s="11">
        <v>450300000</v>
      </c>
      <c r="B131" s="46"/>
      <c r="C131" s="71" t="s">
        <v>36</v>
      </c>
      <c r="D131" s="71"/>
      <c r="E131" s="26">
        <f t="shared" si="3"/>
        <v>1728259.2</v>
      </c>
      <c r="F131" s="82">
        <f>1728259.2</f>
        <v>1728259.2</v>
      </c>
      <c r="G131" s="82"/>
      <c r="H131" s="82"/>
      <c r="I131" s="82"/>
    </row>
    <row r="132" spans="1:9" ht="33" customHeight="1" x14ac:dyDescent="0.3">
      <c r="A132" s="11">
        <v>452000000</v>
      </c>
      <c r="B132" s="46"/>
      <c r="C132" s="71" t="s">
        <v>45</v>
      </c>
      <c r="D132" s="71"/>
      <c r="E132" s="28">
        <f>F132</f>
        <v>3460859.22</v>
      </c>
      <c r="F132" s="75">
        <f>3460859.22</f>
        <v>3460859.22</v>
      </c>
      <c r="G132" s="76"/>
      <c r="H132" s="76"/>
      <c r="I132" s="77"/>
    </row>
    <row r="133" spans="1:9" ht="33" customHeight="1" x14ac:dyDescent="0.3">
      <c r="A133" s="11">
        <v>456300000</v>
      </c>
      <c r="B133" s="46"/>
      <c r="C133" s="71" t="s">
        <v>7</v>
      </c>
      <c r="D133" s="71"/>
      <c r="E133" s="26">
        <f t="shared" si="3"/>
        <v>2302209.7199999997</v>
      </c>
      <c r="F133" s="82">
        <f>2328121.59-25911.87</f>
        <v>2302209.7199999997</v>
      </c>
      <c r="G133" s="82"/>
      <c r="H133" s="82"/>
      <c r="I133" s="82"/>
    </row>
    <row r="134" spans="1:9" ht="33" customHeight="1" x14ac:dyDescent="0.3">
      <c r="A134" s="11">
        <v>452100000</v>
      </c>
      <c r="B134" s="46"/>
      <c r="C134" s="71" t="s">
        <v>46</v>
      </c>
      <c r="D134" s="71"/>
      <c r="E134" s="26">
        <f t="shared" si="3"/>
        <v>6641913.0699999994</v>
      </c>
      <c r="F134" s="75">
        <f>5797344.85-2232659.85+3077228.07</f>
        <v>6641913.0699999994</v>
      </c>
      <c r="G134" s="76"/>
      <c r="H134" s="76"/>
      <c r="I134" s="77"/>
    </row>
    <row r="135" spans="1:9" ht="33" customHeight="1" x14ac:dyDescent="0.3">
      <c r="A135" s="11">
        <v>451600000</v>
      </c>
      <c r="B135" s="46"/>
      <c r="C135" s="71" t="s">
        <v>43</v>
      </c>
      <c r="D135" s="71"/>
      <c r="E135" s="26">
        <f t="shared" si="3"/>
        <v>7573681.8399999999</v>
      </c>
      <c r="F135" s="82">
        <f>7588022.76-14340.92</f>
        <v>7573681.8399999999</v>
      </c>
      <c r="G135" s="82"/>
      <c r="H135" s="82"/>
      <c r="I135" s="82"/>
    </row>
    <row r="136" spans="1:9" ht="33" customHeight="1" x14ac:dyDescent="0.3">
      <c r="A136" s="11">
        <v>456800000</v>
      </c>
      <c r="B136" s="46"/>
      <c r="C136" s="71" t="s">
        <v>12</v>
      </c>
      <c r="D136" s="71"/>
      <c r="E136" s="26">
        <f t="shared" si="3"/>
        <v>2102314.23</v>
      </c>
      <c r="F136" s="82">
        <f>2102314.23</f>
        <v>2102314.23</v>
      </c>
      <c r="G136" s="82"/>
      <c r="H136" s="82"/>
      <c r="I136" s="82"/>
    </row>
    <row r="137" spans="1:9" ht="33" customHeight="1" x14ac:dyDescent="0.3">
      <c r="A137" s="11">
        <v>455900000</v>
      </c>
      <c r="B137" s="46"/>
      <c r="C137" s="71" t="s">
        <v>71</v>
      </c>
      <c r="D137" s="71"/>
      <c r="E137" s="26">
        <f t="shared" si="3"/>
        <v>3934118.37</v>
      </c>
      <c r="F137" s="82">
        <f>3934118.37</f>
        <v>3934118.37</v>
      </c>
      <c r="G137" s="82"/>
      <c r="H137" s="82"/>
      <c r="I137" s="82"/>
    </row>
    <row r="138" spans="1:9" s="2" customFormat="1" ht="33" customHeight="1" x14ac:dyDescent="0.3">
      <c r="A138" s="11">
        <v>452500000</v>
      </c>
      <c r="B138" s="46"/>
      <c r="C138" s="71" t="s">
        <v>49</v>
      </c>
      <c r="D138" s="71"/>
      <c r="E138" s="26">
        <f t="shared" si="3"/>
        <v>5179542.29</v>
      </c>
      <c r="F138" s="75">
        <f>2102314.22+3077228.07</f>
        <v>5179542.29</v>
      </c>
      <c r="G138" s="76"/>
      <c r="H138" s="76"/>
      <c r="I138" s="77"/>
    </row>
    <row r="139" spans="1:9" s="2" customFormat="1" ht="33" customHeight="1" x14ac:dyDescent="0.3">
      <c r="A139" s="11">
        <v>452600000</v>
      </c>
      <c r="B139" s="46"/>
      <c r="C139" s="71" t="s">
        <v>50</v>
      </c>
      <c r="D139" s="71"/>
      <c r="E139" s="26">
        <f t="shared" si="3"/>
        <v>8962800.209999999</v>
      </c>
      <c r="F139" s="75">
        <f>5975200.14+2987600.07</f>
        <v>8962800.209999999</v>
      </c>
      <c r="G139" s="76"/>
      <c r="H139" s="76"/>
      <c r="I139" s="77"/>
    </row>
    <row r="140" spans="1:9" ht="38.25" customHeight="1" x14ac:dyDescent="0.3">
      <c r="A140" s="69"/>
      <c r="B140" s="69"/>
      <c r="C140" s="70" t="s">
        <v>139</v>
      </c>
      <c r="D140" s="70"/>
      <c r="E140" s="24"/>
      <c r="F140" s="84"/>
      <c r="G140" s="84"/>
      <c r="H140" s="84"/>
      <c r="I140" s="84"/>
    </row>
    <row r="141" spans="1:9" ht="114" customHeight="1" x14ac:dyDescent="0.3">
      <c r="A141" s="49" t="s">
        <v>81</v>
      </c>
      <c r="B141" s="48">
        <v>9270</v>
      </c>
      <c r="C141" s="102" t="s">
        <v>86</v>
      </c>
      <c r="D141" s="103"/>
      <c r="E141" s="25">
        <f>SUM(E142:E150)</f>
        <v>8676840</v>
      </c>
      <c r="F141" s="91" t="s">
        <v>94</v>
      </c>
      <c r="G141" s="92"/>
      <c r="H141" s="92"/>
      <c r="I141" s="97"/>
    </row>
    <row r="142" spans="1:9" s="6" customFormat="1" ht="33" customHeight="1" x14ac:dyDescent="0.3">
      <c r="A142" s="12">
        <v>410000000</v>
      </c>
      <c r="B142" s="43"/>
      <c r="C142" s="86" t="s">
        <v>0</v>
      </c>
      <c r="D142" s="86"/>
      <c r="E142" s="25">
        <f>F142</f>
        <v>4939968.79</v>
      </c>
      <c r="F142" s="91">
        <f>10224200-9178354+1284814.6-626540+1254669.5+1981178.69</f>
        <v>4939968.79</v>
      </c>
      <c r="G142" s="92"/>
      <c r="H142" s="92"/>
      <c r="I142" s="92"/>
    </row>
    <row r="143" spans="1:9" ht="33" customHeight="1" x14ac:dyDescent="0.3">
      <c r="A143" s="11">
        <v>457100000</v>
      </c>
      <c r="B143" s="46"/>
      <c r="C143" s="71" t="s">
        <v>111</v>
      </c>
      <c r="D143" s="71"/>
      <c r="E143" s="26">
        <f>F143</f>
        <v>751524</v>
      </c>
      <c r="F143" s="75">
        <f>1073856-166937-88465-66930</f>
        <v>751524</v>
      </c>
      <c r="G143" s="76"/>
      <c r="H143" s="76"/>
      <c r="I143" s="77"/>
    </row>
    <row r="144" spans="1:9" ht="33" customHeight="1" x14ac:dyDescent="0.3">
      <c r="A144" s="11">
        <v>457810000</v>
      </c>
      <c r="B144" s="46"/>
      <c r="C144" s="71" t="s">
        <v>19</v>
      </c>
      <c r="D144" s="71"/>
      <c r="E144" s="26">
        <f t="shared" ref="E144:E150" si="6">F144</f>
        <v>258876</v>
      </c>
      <c r="F144" s="75">
        <f>345168-86292</f>
        <v>258876</v>
      </c>
      <c r="G144" s="76"/>
      <c r="H144" s="76"/>
      <c r="I144" s="77"/>
    </row>
    <row r="145" spans="1:9" ht="33" customHeight="1" x14ac:dyDescent="0.3">
      <c r="A145" s="11">
        <v>456200000</v>
      </c>
      <c r="B145" s="46"/>
      <c r="C145" s="71" t="s">
        <v>32</v>
      </c>
      <c r="D145" s="71"/>
      <c r="E145" s="26">
        <f t="shared" si="6"/>
        <v>584578.55999999994</v>
      </c>
      <c r="F145" s="75">
        <f>1073856-196952.3-147063-145262.14</f>
        <v>584578.55999999994</v>
      </c>
      <c r="G145" s="76"/>
      <c r="H145" s="76"/>
      <c r="I145" s="77"/>
    </row>
    <row r="146" spans="1:9" ht="33" customHeight="1" x14ac:dyDescent="0.3">
      <c r="A146" s="11">
        <v>450200000</v>
      </c>
      <c r="B146" s="46"/>
      <c r="C146" s="71" t="s">
        <v>34</v>
      </c>
      <c r="D146" s="71"/>
      <c r="E146" s="26">
        <f t="shared" si="6"/>
        <v>250516.5</v>
      </c>
      <c r="F146" s="75">
        <f>1002066-250516.5-250516.5-250516.5</f>
        <v>250516.5</v>
      </c>
      <c r="G146" s="76"/>
      <c r="H146" s="76"/>
      <c r="I146" s="77"/>
    </row>
    <row r="147" spans="1:9" s="6" customFormat="1" ht="33" customHeight="1" x14ac:dyDescent="0.3">
      <c r="A147" s="11">
        <v>450500000</v>
      </c>
      <c r="B147" s="46"/>
      <c r="C147" s="71" t="s">
        <v>155</v>
      </c>
      <c r="D147" s="71"/>
      <c r="E147" s="26">
        <f t="shared" si="6"/>
        <v>841557.34</v>
      </c>
      <c r="F147" s="75">
        <f>1016514-83086.66-41940-49930</f>
        <v>841557.34</v>
      </c>
      <c r="G147" s="76"/>
      <c r="H147" s="76"/>
      <c r="I147" s="77"/>
    </row>
    <row r="148" spans="1:9" s="6" customFormat="1" ht="33" customHeight="1" x14ac:dyDescent="0.3">
      <c r="A148" s="11">
        <v>454300000</v>
      </c>
      <c r="B148" s="46"/>
      <c r="C148" s="71" t="s">
        <v>59</v>
      </c>
      <c r="D148" s="71"/>
      <c r="E148" s="26">
        <f t="shared" si="6"/>
        <v>473920.81</v>
      </c>
      <c r="F148" s="75">
        <f>958800-174852.14-148470-161557.05</f>
        <v>473920.81</v>
      </c>
      <c r="G148" s="76"/>
      <c r="H148" s="76"/>
      <c r="I148" s="77"/>
    </row>
    <row r="149" spans="1:9" ht="33" customHeight="1" x14ac:dyDescent="0.3">
      <c r="A149" s="11">
        <v>454600000</v>
      </c>
      <c r="B149" s="46"/>
      <c r="C149" s="71" t="s">
        <v>60</v>
      </c>
      <c r="D149" s="71"/>
      <c r="E149" s="26">
        <f t="shared" si="6"/>
        <v>234952.5</v>
      </c>
      <c r="F149" s="75">
        <f>939810-234952.5-234952.5-234952.5</f>
        <v>234952.5</v>
      </c>
      <c r="G149" s="76"/>
      <c r="H149" s="76"/>
      <c r="I149" s="77"/>
    </row>
    <row r="150" spans="1:9" s="6" customFormat="1" ht="33" customHeight="1" x14ac:dyDescent="0.3">
      <c r="A150" s="11">
        <v>451300000</v>
      </c>
      <c r="B150" s="46"/>
      <c r="C150" s="71" t="s">
        <v>41</v>
      </c>
      <c r="D150" s="71"/>
      <c r="E150" s="26">
        <f t="shared" si="6"/>
        <v>340945.5</v>
      </c>
      <c r="F150" s="75">
        <f>873498-177517.5-177517.5-177517.5</f>
        <v>340945.5</v>
      </c>
      <c r="G150" s="76"/>
      <c r="H150" s="76"/>
      <c r="I150" s="77"/>
    </row>
    <row r="151" spans="1:9" ht="38.25" customHeight="1" x14ac:dyDescent="0.3">
      <c r="A151" s="69"/>
      <c r="B151" s="69"/>
      <c r="C151" s="70" t="s">
        <v>139</v>
      </c>
      <c r="D151" s="70"/>
      <c r="E151" s="24"/>
      <c r="F151" s="84"/>
      <c r="G151" s="84"/>
      <c r="H151" s="84"/>
      <c r="I151" s="84"/>
    </row>
    <row r="152" spans="1:9" ht="84" customHeight="1" x14ac:dyDescent="0.3">
      <c r="A152" s="47" t="s">
        <v>264</v>
      </c>
      <c r="B152" s="48">
        <v>9280</v>
      </c>
      <c r="C152" s="102" t="s">
        <v>265</v>
      </c>
      <c r="D152" s="103"/>
      <c r="E152" s="25">
        <f>SUM(E153:E165)</f>
        <v>139700180</v>
      </c>
      <c r="F152" s="87" t="s">
        <v>116</v>
      </c>
      <c r="G152" s="87"/>
      <c r="H152" s="87"/>
      <c r="I152" s="87"/>
    </row>
    <row r="153" spans="1:9" s="6" customFormat="1" ht="33" customHeight="1" x14ac:dyDescent="0.3">
      <c r="A153" s="12">
        <v>410000000</v>
      </c>
      <c r="B153" s="43"/>
      <c r="C153" s="86" t="s">
        <v>0</v>
      </c>
      <c r="D153" s="86"/>
      <c r="E153" s="25">
        <f>F153</f>
        <v>7777428.900000006</v>
      </c>
      <c r="F153" s="91">
        <f>139700180-138087242.6+6164491.5</f>
        <v>7777428.900000006</v>
      </c>
      <c r="G153" s="92"/>
      <c r="H153" s="92"/>
      <c r="I153" s="92"/>
    </row>
    <row r="154" spans="1:9" ht="33" customHeight="1" x14ac:dyDescent="0.3">
      <c r="A154" s="11">
        <v>457600000</v>
      </c>
      <c r="B154" s="46"/>
      <c r="C154" s="71" t="s">
        <v>17</v>
      </c>
      <c r="D154" s="71"/>
      <c r="E154" s="26">
        <f>F154</f>
        <v>10972822</v>
      </c>
      <c r="F154" s="75">
        <f>10972822</f>
        <v>10972822</v>
      </c>
      <c r="G154" s="76"/>
      <c r="H154" s="76">
        <f>12671734</f>
        <v>12671734</v>
      </c>
      <c r="I154" s="77"/>
    </row>
    <row r="155" spans="1:9" ht="33" customHeight="1" x14ac:dyDescent="0.3">
      <c r="A155" s="11">
        <v>457700000</v>
      </c>
      <c r="B155" s="46"/>
      <c r="C155" s="71" t="s">
        <v>18</v>
      </c>
      <c r="D155" s="71"/>
      <c r="E155" s="26">
        <f t="shared" ref="E155:E165" si="7">F155</f>
        <v>5643165.5999999996</v>
      </c>
      <c r="F155" s="75">
        <f>5643165.6</f>
        <v>5643165.5999999996</v>
      </c>
      <c r="G155" s="76"/>
      <c r="H155" s="76"/>
      <c r="I155" s="77"/>
    </row>
    <row r="156" spans="1:9" ht="33" customHeight="1" x14ac:dyDescent="0.3">
      <c r="A156" s="11">
        <v>457100000</v>
      </c>
      <c r="B156" s="46"/>
      <c r="C156" s="71" t="s">
        <v>111</v>
      </c>
      <c r="D156" s="71"/>
      <c r="E156" s="26">
        <f t="shared" si="7"/>
        <v>7053957</v>
      </c>
      <c r="F156" s="75">
        <f>7053957</f>
        <v>7053957</v>
      </c>
      <c r="G156" s="76"/>
      <c r="H156" s="76">
        <f>397386</f>
        <v>397386</v>
      </c>
      <c r="I156" s="77"/>
    </row>
    <row r="157" spans="1:9" ht="33" customHeight="1" x14ac:dyDescent="0.3">
      <c r="A157" s="11">
        <v>457810000</v>
      </c>
      <c r="B157" s="46"/>
      <c r="C157" s="71" t="s">
        <v>19</v>
      </c>
      <c r="D157" s="71"/>
      <c r="E157" s="26">
        <f t="shared" si="7"/>
        <v>69647295.399999991</v>
      </c>
      <c r="F157" s="75">
        <f>68708514.8+938780.6</f>
        <v>69647295.399999991</v>
      </c>
      <c r="G157" s="76"/>
      <c r="H157" s="76">
        <f>1173434+508576+589493</f>
        <v>2271503</v>
      </c>
      <c r="I157" s="77"/>
    </row>
    <row r="158" spans="1:9" ht="31.5" customHeight="1" x14ac:dyDescent="0.3">
      <c r="A158" s="11">
        <v>458900000</v>
      </c>
      <c r="B158" s="46"/>
      <c r="C158" s="71" t="s">
        <v>29</v>
      </c>
      <c r="D158" s="71"/>
      <c r="E158" s="26">
        <f t="shared" si="7"/>
        <v>4459050</v>
      </c>
      <c r="F158" s="75">
        <f>5643165.6-1184115.6</f>
        <v>4459050</v>
      </c>
      <c r="G158" s="76"/>
      <c r="H158" s="76"/>
      <c r="I158" s="77"/>
    </row>
    <row r="159" spans="1:9" ht="33" customHeight="1" x14ac:dyDescent="0.3">
      <c r="A159" s="11" t="s">
        <v>164</v>
      </c>
      <c r="B159" s="46"/>
      <c r="C159" s="71" t="s">
        <v>165</v>
      </c>
      <c r="D159" s="71"/>
      <c r="E159" s="26">
        <f t="shared" si="7"/>
        <v>2070000</v>
      </c>
      <c r="F159" s="75">
        <f>2076225.3-6225.3</f>
        <v>2070000</v>
      </c>
      <c r="G159" s="76"/>
      <c r="H159" s="76"/>
      <c r="I159" s="77"/>
    </row>
    <row r="160" spans="1:9" ht="33" customHeight="1" x14ac:dyDescent="0.3">
      <c r="A160" s="11">
        <v>455300000</v>
      </c>
      <c r="B160" s="46"/>
      <c r="C160" s="71" t="s">
        <v>65</v>
      </c>
      <c r="D160" s="71"/>
      <c r="E160" s="26">
        <f t="shared" si="7"/>
        <v>5643165.5999999996</v>
      </c>
      <c r="F160" s="75">
        <f>5643165.6</f>
        <v>5643165.5999999996</v>
      </c>
      <c r="G160" s="76"/>
      <c r="H160" s="76"/>
      <c r="I160" s="77"/>
    </row>
    <row r="161" spans="1:9" ht="33" customHeight="1" x14ac:dyDescent="0.3">
      <c r="A161" s="11">
        <v>456600000</v>
      </c>
      <c r="B161" s="46"/>
      <c r="C161" s="71" t="s">
        <v>10</v>
      </c>
      <c r="D161" s="71"/>
      <c r="E161" s="26">
        <f t="shared" si="7"/>
        <v>5638000</v>
      </c>
      <c r="F161" s="75">
        <f>5638000</f>
        <v>5638000</v>
      </c>
      <c r="G161" s="76"/>
      <c r="H161" s="76"/>
      <c r="I161" s="77"/>
    </row>
    <row r="162" spans="1:9" s="6" customFormat="1" ht="33" customHeight="1" x14ac:dyDescent="0.3">
      <c r="A162" s="11">
        <v>454300000</v>
      </c>
      <c r="B162" s="46"/>
      <c r="C162" s="71" t="s">
        <v>59</v>
      </c>
      <c r="D162" s="71"/>
      <c r="E162" s="26">
        <f t="shared" si="7"/>
        <v>5378400</v>
      </c>
      <c r="F162" s="75">
        <f>5643165.6-264765.6</f>
        <v>5378400</v>
      </c>
      <c r="G162" s="76"/>
      <c r="H162" s="76"/>
      <c r="I162" s="77"/>
    </row>
    <row r="163" spans="1:9" ht="33" customHeight="1" x14ac:dyDescent="0.3">
      <c r="A163" s="11">
        <v>458800000</v>
      </c>
      <c r="B163" s="46"/>
      <c r="C163" s="71" t="s">
        <v>28</v>
      </c>
      <c r="D163" s="71"/>
      <c r="E163" s="26">
        <f t="shared" si="7"/>
        <v>3047337.9</v>
      </c>
      <c r="F163" s="75">
        <f>3047337.9</f>
        <v>3047337.9</v>
      </c>
      <c r="G163" s="76"/>
      <c r="H163" s="76"/>
      <c r="I163" s="77"/>
    </row>
    <row r="164" spans="1:9" ht="33" customHeight="1" x14ac:dyDescent="0.3">
      <c r="A164" s="11">
        <v>451500000</v>
      </c>
      <c r="B164" s="46"/>
      <c r="C164" s="71" t="s">
        <v>42</v>
      </c>
      <c r="D164" s="71"/>
      <c r="E164" s="26">
        <f t="shared" si="7"/>
        <v>5858553.5999999996</v>
      </c>
      <c r="F164" s="75">
        <f>5858553.6</f>
        <v>5858553.5999999996</v>
      </c>
      <c r="G164" s="76"/>
      <c r="H164" s="76"/>
      <c r="I164" s="77"/>
    </row>
    <row r="165" spans="1:9" ht="33" customHeight="1" x14ac:dyDescent="0.3">
      <c r="A165" s="11">
        <v>452700000</v>
      </c>
      <c r="B165" s="46"/>
      <c r="C165" s="71" t="s">
        <v>51</v>
      </c>
      <c r="D165" s="71"/>
      <c r="E165" s="26">
        <f t="shared" si="7"/>
        <v>6511004</v>
      </c>
      <c r="F165" s="75">
        <f>6511004</f>
        <v>6511004</v>
      </c>
      <c r="G165" s="76"/>
      <c r="H165" s="76"/>
      <c r="I165" s="77"/>
    </row>
    <row r="166" spans="1:9" s="6" customFormat="1" ht="39" customHeight="1" x14ac:dyDescent="0.3">
      <c r="A166" s="83"/>
      <c r="B166" s="83"/>
      <c r="C166" s="70" t="s">
        <v>150</v>
      </c>
      <c r="D166" s="70"/>
      <c r="E166" s="24"/>
      <c r="F166" s="84"/>
      <c r="G166" s="84"/>
      <c r="H166" s="84"/>
      <c r="I166" s="84"/>
    </row>
    <row r="167" spans="1:9" s="6" customFormat="1" ht="33" customHeight="1" x14ac:dyDescent="0.3">
      <c r="A167" s="109" t="s">
        <v>151</v>
      </c>
      <c r="B167" s="111">
        <v>9310</v>
      </c>
      <c r="C167" s="102" t="s">
        <v>152</v>
      </c>
      <c r="D167" s="103"/>
      <c r="E167" s="106">
        <f>F168+H168</f>
        <v>105116300</v>
      </c>
      <c r="F167" s="98" t="s">
        <v>153</v>
      </c>
      <c r="G167" s="100"/>
      <c r="H167" s="98" t="s">
        <v>154</v>
      </c>
      <c r="I167" s="100"/>
    </row>
    <row r="168" spans="1:9" s="6" customFormat="1" ht="28.5" customHeight="1" x14ac:dyDescent="0.3">
      <c r="A168" s="110"/>
      <c r="B168" s="112"/>
      <c r="C168" s="104"/>
      <c r="D168" s="105"/>
      <c r="E168" s="107"/>
      <c r="F168" s="78">
        <f>SUM(F169:G202)</f>
        <v>81731000</v>
      </c>
      <c r="G168" s="78"/>
      <c r="H168" s="78">
        <f>SUM(H169:I202)</f>
        <v>23385300</v>
      </c>
      <c r="I168" s="78"/>
    </row>
    <row r="169" spans="1:9" s="6" customFormat="1" ht="33" customHeight="1" x14ac:dyDescent="0.3">
      <c r="A169" s="12">
        <v>410000000</v>
      </c>
      <c r="B169" s="43"/>
      <c r="C169" s="86" t="s">
        <v>0</v>
      </c>
      <c r="D169" s="86"/>
      <c r="E169" s="25">
        <f>F169+H169</f>
        <v>20136843</v>
      </c>
      <c r="F169" s="78">
        <f>39285480-24351124-136242-1174624+27202600-20980538-66761-44507</f>
        <v>19734284</v>
      </c>
      <c r="G169" s="78"/>
      <c r="H169" s="78">
        <f>15412700-14242554-508576-589493+7972600-7642118</f>
        <v>402559</v>
      </c>
      <c r="I169" s="78"/>
    </row>
    <row r="170" spans="1:9" s="6" customFormat="1" ht="33" customHeight="1" x14ac:dyDescent="0.3">
      <c r="A170" s="11">
        <v>457400000</v>
      </c>
      <c r="B170" s="46"/>
      <c r="C170" s="71" t="s">
        <v>15</v>
      </c>
      <c r="D170" s="71"/>
      <c r="E170" s="26">
        <f>F170+H170</f>
        <v>1594258</v>
      </c>
      <c r="F170" s="82">
        <f>408147+652029+534082</f>
        <v>1594258</v>
      </c>
      <c r="G170" s="82"/>
      <c r="H170" s="82"/>
      <c r="I170" s="82"/>
    </row>
    <row r="171" spans="1:9" ht="33" customHeight="1" x14ac:dyDescent="0.3">
      <c r="A171" s="11">
        <v>457600000</v>
      </c>
      <c r="B171" s="46"/>
      <c r="C171" s="71" t="s">
        <v>17</v>
      </c>
      <c r="D171" s="71"/>
      <c r="E171" s="26">
        <f t="shared" ref="E171:E182" si="8">F171+H171</f>
        <v>27373904</v>
      </c>
      <c r="F171" s="82">
        <f>1879516+3002596+594276+2915200</f>
        <v>8391588</v>
      </c>
      <c r="G171" s="82"/>
      <c r="H171" s="82">
        <f>12671734+6310582</f>
        <v>18982316</v>
      </c>
      <c r="I171" s="82"/>
    </row>
    <row r="172" spans="1:9" ht="33" customHeight="1" x14ac:dyDescent="0.3">
      <c r="A172" s="11">
        <v>457700000</v>
      </c>
      <c r="B172" s="46"/>
      <c r="C172" s="71" t="s">
        <v>18</v>
      </c>
      <c r="D172" s="71"/>
      <c r="E172" s="26">
        <f t="shared" si="8"/>
        <v>1859968</v>
      </c>
      <c r="F172" s="82">
        <f>476171+760701+623096</f>
        <v>1859968</v>
      </c>
      <c r="G172" s="82"/>
      <c r="H172" s="82"/>
      <c r="I172" s="82"/>
    </row>
    <row r="173" spans="1:9" ht="33" customHeight="1" x14ac:dyDescent="0.3">
      <c r="A173" s="11">
        <v>457100000</v>
      </c>
      <c r="B173" s="46"/>
      <c r="C173" s="71" t="s">
        <v>111</v>
      </c>
      <c r="D173" s="71"/>
      <c r="E173" s="26">
        <f t="shared" si="8"/>
        <v>6440775</v>
      </c>
      <c r="F173" s="82">
        <f>1496538+2390775+1958302</f>
        <v>5845615</v>
      </c>
      <c r="G173" s="82"/>
      <c r="H173" s="82">
        <f>397386+197774</f>
        <v>595160</v>
      </c>
      <c r="I173" s="82"/>
    </row>
    <row r="174" spans="1:9" ht="33" customHeight="1" x14ac:dyDescent="0.3">
      <c r="A174" s="11">
        <v>457810000</v>
      </c>
      <c r="B174" s="46"/>
      <c r="C174" s="71" t="s">
        <v>19</v>
      </c>
      <c r="D174" s="71"/>
      <c r="E174" s="26">
        <f t="shared" si="8"/>
        <v>8719461</v>
      </c>
      <c r="F174" s="82">
        <f>1360489+2173432+1780275</f>
        <v>5314196</v>
      </c>
      <c r="G174" s="82"/>
      <c r="H174" s="82">
        <f>1173434+508576+589493+1133762</f>
        <v>3405265</v>
      </c>
      <c r="I174" s="82"/>
    </row>
    <row r="175" spans="1:9" ht="33" customHeight="1" x14ac:dyDescent="0.3">
      <c r="A175" s="11">
        <v>456100000</v>
      </c>
      <c r="B175" s="46"/>
      <c r="C175" s="71" t="s">
        <v>31</v>
      </c>
      <c r="D175" s="71"/>
      <c r="E175" s="26">
        <f t="shared" si="8"/>
        <v>2391388</v>
      </c>
      <c r="F175" s="82">
        <f>612220+978044+801124</f>
        <v>2391388</v>
      </c>
      <c r="G175" s="82"/>
      <c r="H175" s="82"/>
      <c r="I175" s="82"/>
    </row>
    <row r="176" spans="1:9" ht="33" customHeight="1" x14ac:dyDescent="0.3">
      <c r="A176" s="11">
        <v>458100000</v>
      </c>
      <c r="B176" s="46"/>
      <c r="C176" s="71" t="s">
        <v>21</v>
      </c>
      <c r="D176" s="71"/>
      <c r="E176" s="26">
        <f t="shared" si="8"/>
        <v>2391388</v>
      </c>
      <c r="F176" s="82">
        <f>612220+978044+801124</f>
        <v>2391388</v>
      </c>
      <c r="G176" s="82"/>
      <c r="H176" s="82"/>
      <c r="I176" s="82"/>
    </row>
    <row r="177" spans="1:9" ht="33" customHeight="1" x14ac:dyDescent="0.3">
      <c r="A177" s="11">
        <v>458200000</v>
      </c>
      <c r="B177" s="46"/>
      <c r="C177" s="71" t="s">
        <v>22</v>
      </c>
      <c r="D177" s="71"/>
      <c r="E177" s="26">
        <f t="shared" si="8"/>
        <v>1727113</v>
      </c>
      <c r="F177" s="82">
        <f>442159+706365+578589</f>
        <v>1727113</v>
      </c>
      <c r="G177" s="82"/>
      <c r="H177" s="82"/>
      <c r="I177" s="82"/>
    </row>
    <row r="178" spans="1:9" ht="33" customHeight="1" x14ac:dyDescent="0.3">
      <c r="A178" s="11">
        <v>458400000</v>
      </c>
      <c r="B178" s="46"/>
      <c r="C178" s="71" t="s">
        <v>24</v>
      </c>
      <c r="D178" s="71"/>
      <c r="E178" s="26">
        <f t="shared" si="8"/>
        <v>1859968</v>
      </c>
      <c r="F178" s="82">
        <f>476171+760701+623096</f>
        <v>1859968</v>
      </c>
      <c r="G178" s="82"/>
      <c r="H178" s="82"/>
      <c r="I178" s="82"/>
    </row>
    <row r="179" spans="1:9" ht="33" customHeight="1" x14ac:dyDescent="0.3">
      <c r="A179" s="11">
        <v>458500000</v>
      </c>
      <c r="B179" s="46"/>
      <c r="C179" s="71" t="s">
        <v>25</v>
      </c>
      <c r="D179" s="71"/>
      <c r="E179" s="26">
        <f t="shared" si="8"/>
        <v>1328549</v>
      </c>
      <c r="F179" s="82">
        <f>340122+543358+445069</f>
        <v>1328549</v>
      </c>
      <c r="G179" s="82"/>
      <c r="H179" s="82"/>
      <c r="I179" s="82"/>
    </row>
    <row r="180" spans="1:9" ht="33" customHeight="1" x14ac:dyDescent="0.3">
      <c r="A180" s="11">
        <v>456200000</v>
      </c>
      <c r="B180" s="46"/>
      <c r="C180" s="71" t="s">
        <v>32</v>
      </c>
      <c r="D180" s="71"/>
      <c r="E180" s="26">
        <f t="shared" si="8"/>
        <v>1594258</v>
      </c>
      <c r="F180" s="82">
        <f>408147+652029+534082</f>
        <v>1594258</v>
      </c>
      <c r="G180" s="82"/>
      <c r="H180" s="82"/>
      <c r="I180" s="82"/>
    </row>
    <row r="181" spans="1:9" ht="31.5" customHeight="1" x14ac:dyDescent="0.3">
      <c r="A181" s="11">
        <v>458900000</v>
      </c>
      <c r="B181" s="46"/>
      <c r="C181" s="71" t="s">
        <v>29</v>
      </c>
      <c r="D181" s="71"/>
      <c r="E181" s="26">
        <f t="shared" si="8"/>
        <v>1594258</v>
      </c>
      <c r="F181" s="82">
        <f>408147+652029+534082</f>
        <v>1594258</v>
      </c>
      <c r="G181" s="82"/>
      <c r="H181" s="82"/>
      <c r="I181" s="82"/>
    </row>
    <row r="182" spans="1:9" ht="33" customHeight="1" x14ac:dyDescent="0.3">
      <c r="A182" s="11">
        <v>459100000</v>
      </c>
      <c r="B182" s="46"/>
      <c r="C182" s="71" t="s">
        <v>30</v>
      </c>
      <c r="D182" s="71"/>
      <c r="E182" s="26">
        <f t="shared" si="8"/>
        <v>1262121</v>
      </c>
      <c r="F182" s="82">
        <f>323116+516190+422815</f>
        <v>1262121</v>
      </c>
      <c r="G182" s="82"/>
      <c r="H182" s="82"/>
      <c r="I182" s="82"/>
    </row>
    <row r="183" spans="1:9" s="6" customFormat="1" ht="33" customHeight="1" x14ac:dyDescent="0.3">
      <c r="A183" s="11">
        <v>450100000</v>
      </c>
      <c r="B183" s="46"/>
      <c r="C183" s="71" t="s">
        <v>33</v>
      </c>
      <c r="D183" s="71"/>
      <c r="E183" s="28">
        <f t="shared" ref="E183:E201" si="9">F183+H183</f>
        <v>1394976</v>
      </c>
      <c r="F183" s="82">
        <f>357128+570526+467322</f>
        <v>1394976</v>
      </c>
      <c r="G183" s="82"/>
      <c r="H183" s="82"/>
      <c r="I183" s="82"/>
    </row>
    <row r="184" spans="1:9" s="6" customFormat="1" ht="33" customHeight="1" x14ac:dyDescent="0.3">
      <c r="A184" s="11">
        <v>450500000</v>
      </c>
      <c r="B184" s="46"/>
      <c r="C184" s="71" t="s">
        <v>155</v>
      </c>
      <c r="D184" s="71"/>
      <c r="E184" s="28">
        <f t="shared" si="9"/>
        <v>730702</v>
      </c>
      <c r="F184" s="82">
        <f>187067+298847+244788</f>
        <v>730702</v>
      </c>
      <c r="G184" s="82"/>
      <c r="H184" s="82"/>
      <c r="I184" s="82"/>
    </row>
    <row r="185" spans="1:9" s="6" customFormat="1" ht="33" customHeight="1" x14ac:dyDescent="0.3">
      <c r="A185" s="11">
        <v>451900000</v>
      </c>
      <c r="B185" s="46"/>
      <c r="C185" s="71" t="s">
        <v>44</v>
      </c>
      <c r="D185" s="71"/>
      <c r="E185" s="28">
        <f t="shared" si="9"/>
        <v>598180</v>
      </c>
      <c r="F185" s="82">
        <f>136049+217343+178027+66761</f>
        <v>598180</v>
      </c>
      <c r="G185" s="82"/>
      <c r="H185" s="82"/>
      <c r="I185" s="82"/>
    </row>
    <row r="186" spans="1:9" s="6" customFormat="1" ht="33" customHeight="1" x14ac:dyDescent="0.3">
      <c r="A186" s="11">
        <v>453600000</v>
      </c>
      <c r="B186" s="46"/>
      <c r="C186" s="71" t="s">
        <v>55</v>
      </c>
      <c r="D186" s="71"/>
      <c r="E186" s="28">
        <f t="shared" si="9"/>
        <v>1062839</v>
      </c>
      <c r="F186" s="82">
        <f>272098+434686+356055</f>
        <v>1062839</v>
      </c>
      <c r="G186" s="82"/>
      <c r="H186" s="82"/>
      <c r="I186" s="82"/>
    </row>
    <row r="187" spans="1:9" s="6" customFormat="1" ht="33" customHeight="1" x14ac:dyDescent="0.3">
      <c r="A187" s="11">
        <v>457500000</v>
      </c>
      <c r="B187" s="46"/>
      <c r="C187" s="71" t="s">
        <v>16</v>
      </c>
      <c r="D187" s="71"/>
      <c r="E187" s="28">
        <f t="shared" si="9"/>
        <v>1332602</v>
      </c>
      <c r="F187" s="82">
        <f>272098+434686+136242+489576</f>
        <v>1332602</v>
      </c>
      <c r="G187" s="82"/>
      <c r="H187" s="82"/>
      <c r="I187" s="82"/>
    </row>
    <row r="188" spans="1:9" s="6" customFormat="1" ht="33" customHeight="1" x14ac:dyDescent="0.3">
      <c r="A188" s="11">
        <v>452100000</v>
      </c>
      <c r="B188" s="46"/>
      <c r="C188" s="71" t="s">
        <v>46</v>
      </c>
      <c r="D188" s="71"/>
      <c r="E188" s="28">
        <f t="shared" si="9"/>
        <v>1195694</v>
      </c>
      <c r="F188" s="82">
        <f>306110+489022+400562</f>
        <v>1195694</v>
      </c>
      <c r="G188" s="82"/>
      <c r="H188" s="82"/>
      <c r="I188" s="82"/>
    </row>
    <row r="189" spans="1:9" s="6" customFormat="1" ht="33" customHeight="1" x14ac:dyDescent="0.3">
      <c r="A189" s="11">
        <v>457900000</v>
      </c>
      <c r="B189" s="46"/>
      <c r="C189" s="71" t="s">
        <v>20</v>
      </c>
      <c r="D189" s="71"/>
      <c r="E189" s="28">
        <f t="shared" si="9"/>
        <v>974491</v>
      </c>
      <c r="F189" s="82">
        <f>238086+380350+311548+44507</f>
        <v>974491</v>
      </c>
      <c r="G189" s="82"/>
      <c r="H189" s="82"/>
      <c r="I189" s="82"/>
    </row>
    <row r="190" spans="1:9" s="6" customFormat="1" ht="33" customHeight="1" x14ac:dyDescent="0.3">
      <c r="A190" s="11">
        <v>456500000</v>
      </c>
      <c r="B190" s="46"/>
      <c r="C190" s="71" t="s">
        <v>9</v>
      </c>
      <c r="D190" s="71"/>
      <c r="E190" s="28">
        <f t="shared" si="9"/>
        <v>1062839</v>
      </c>
      <c r="F190" s="82">
        <f>272098+434686+356055</f>
        <v>1062839</v>
      </c>
      <c r="G190" s="82"/>
      <c r="H190" s="82"/>
      <c r="I190" s="82"/>
    </row>
    <row r="191" spans="1:9" s="6" customFormat="1" ht="33" customHeight="1" x14ac:dyDescent="0.3">
      <c r="A191" s="11">
        <v>453700000</v>
      </c>
      <c r="B191" s="46"/>
      <c r="C191" s="71" t="s">
        <v>56</v>
      </c>
      <c r="D191" s="71"/>
      <c r="E191" s="28">
        <f t="shared" si="9"/>
        <v>1328549</v>
      </c>
      <c r="F191" s="82">
        <f>340122+543358+445069</f>
        <v>1328549</v>
      </c>
      <c r="G191" s="82"/>
      <c r="H191" s="82"/>
      <c r="I191" s="82"/>
    </row>
    <row r="192" spans="1:9" s="6" customFormat="1" ht="33" customHeight="1" x14ac:dyDescent="0.3">
      <c r="A192" s="11">
        <v>453200000</v>
      </c>
      <c r="B192" s="46"/>
      <c r="C192" s="71" t="s">
        <v>156</v>
      </c>
      <c r="D192" s="71"/>
      <c r="E192" s="28">
        <f t="shared" si="9"/>
        <v>1062839</v>
      </c>
      <c r="F192" s="82">
        <f>272098+434686+356055</f>
        <v>1062839</v>
      </c>
      <c r="G192" s="82"/>
      <c r="H192" s="82"/>
      <c r="I192" s="82"/>
    </row>
    <row r="193" spans="1:9" s="6" customFormat="1" ht="33" customHeight="1" x14ac:dyDescent="0.3">
      <c r="A193" s="11">
        <v>454300000</v>
      </c>
      <c r="B193" s="46"/>
      <c r="C193" s="71" t="s">
        <v>59</v>
      </c>
      <c r="D193" s="71"/>
      <c r="E193" s="28">
        <f t="shared" si="9"/>
        <v>2125678</v>
      </c>
      <c r="F193" s="82">
        <f>544196+869372+712110</f>
        <v>2125678</v>
      </c>
      <c r="G193" s="82"/>
      <c r="H193" s="82"/>
      <c r="I193" s="82"/>
    </row>
    <row r="194" spans="1:9" s="6" customFormat="1" ht="33" customHeight="1" x14ac:dyDescent="0.3">
      <c r="A194" s="11">
        <v>458600000</v>
      </c>
      <c r="B194" s="46"/>
      <c r="C194" s="71" t="s">
        <v>26</v>
      </c>
      <c r="D194" s="71"/>
      <c r="E194" s="28">
        <f t="shared" si="9"/>
        <v>1328549</v>
      </c>
      <c r="F194" s="82">
        <f>340122+543358+445069</f>
        <v>1328549</v>
      </c>
      <c r="G194" s="82"/>
      <c r="H194" s="82"/>
      <c r="I194" s="82"/>
    </row>
    <row r="195" spans="1:9" s="6" customFormat="1" ht="33" customHeight="1" x14ac:dyDescent="0.3">
      <c r="A195" s="11">
        <v>456800000</v>
      </c>
      <c r="B195" s="46"/>
      <c r="C195" s="71" t="s">
        <v>12</v>
      </c>
      <c r="D195" s="71"/>
      <c r="E195" s="28">
        <f t="shared" si="9"/>
        <v>1461404</v>
      </c>
      <c r="F195" s="82">
        <f>374134+597694+489576</f>
        <v>1461404</v>
      </c>
      <c r="G195" s="82"/>
      <c r="H195" s="82"/>
      <c r="I195" s="82"/>
    </row>
    <row r="196" spans="1:9" s="6" customFormat="1" ht="33" customHeight="1" x14ac:dyDescent="0.3">
      <c r="A196" s="11">
        <v>452300000</v>
      </c>
      <c r="B196" s="46"/>
      <c r="C196" s="71" t="s">
        <v>47</v>
      </c>
      <c r="D196" s="71"/>
      <c r="E196" s="28">
        <f t="shared" si="9"/>
        <v>1355120</v>
      </c>
      <c r="F196" s="82">
        <f>346925+554225+453970</f>
        <v>1355120</v>
      </c>
      <c r="G196" s="82"/>
      <c r="H196" s="82"/>
      <c r="I196" s="82"/>
    </row>
    <row r="197" spans="1:9" s="6" customFormat="1" ht="33" customHeight="1" x14ac:dyDescent="0.3">
      <c r="A197" s="11">
        <v>458700000</v>
      </c>
      <c r="B197" s="46"/>
      <c r="C197" s="71" t="s">
        <v>27</v>
      </c>
      <c r="D197" s="71"/>
      <c r="E197" s="28">
        <f t="shared" si="9"/>
        <v>929984</v>
      </c>
      <c r="F197" s="82">
        <f>238086+380350+311548</f>
        <v>929984</v>
      </c>
      <c r="G197" s="82"/>
      <c r="H197" s="82"/>
      <c r="I197" s="82"/>
    </row>
    <row r="198" spans="1:9" s="6" customFormat="1" ht="33" customHeight="1" x14ac:dyDescent="0.3">
      <c r="A198" s="11">
        <v>458800000</v>
      </c>
      <c r="B198" s="46"/>
      <c r="C198" s="71" t="s">
        <v>28</v>
      </c>
      <c r="D198" s="71"/>
      <c r="E198" s="28">
        <f t="shared" si="9"/>
        <v>1262121</v>
      </c>
      <c r="F198" s="82">
        <f>323116+516190+422815</f>
        <v>1262121</v>
      </c>
      <c r="G198" s="82"/>
      <c r="H198" s="82"/>
      <c r="I198" s="82"/>
    </row>
    <row r="199" spans="1:9" s="6" customFormat="1" ht="33" customHeight="1" x14ac:dyDescent="0.3">
      <c r="A199" s="11">
        <v>451300000</v>
      </c>
      <c r="B199" s="46"/>
      <c r="C199" s="71" t="s">
        <v>41</v>
      </c>
      <c r="D199" s="71"/>
      <c r="E199" s="28">
        <f t="shared" si="9"/>
        <v>1687257</v>
      </c>
      <c r="F199" s="82">
        <f>431955+690065+565237</f>
        <v>1687257</v>
      </c>
      <c r="G199" s="82"/>
      <c r="H199" s="82"/>
      <c r="I199" s="82"/>
    </row>
    <row r="200" spans="1:9" ht="33" customHeight="1" x14ac:dyDescent="0.3">
      <c r="A200" s="11">
        <v>452600000</v>
      </c>
      <c r="B200" s="46"/>
      <c r="C200" s="71" t="s">
        <v>50</v>
      </c>
      <c r="D200" s="71"/>
      <c r="E200" s="28">
        <f t="shared" si="9"/>
        <v>1594258</v>
      </c>
      <c r="F200" s="82">
        <f>408147+652029+534082</f>
        <v>1594258</v>
      </c>
      <c r="G200" s="82"/>
      <c r="H200" s="82"/>
      <c r="I200" s="82"/>
    </row>
    <row r="201" spans="1:9" ht="33" customHeight="1" x14ac:dyDescent="0.3">
      <c r="A201" s="11">
        <v>452700000</v>
      </c>
      <c r="B201" s="46"/>
      <c r="C201" s="71" t="s">
        <v>51</v>
      </c>
      <c r="D201" s="71"/>
      <c r="E201" s="28">
        <f t="shared" si="9"/>
        <v>1328549</v>
      </c>
      <c r="F201" s="82">
        <f>340122+543358+445069</f>
        <v>1328549</v>
      </c>
      <c r="G201" s="82"/>
      <c r="H201" s="82"/>
      <c r="I201" s="82"/>
    </row>
    <row r="202" spans="1:9" s="2" customFormat="1" ht="33" customHeight="1" x14ac:dyDescent="0.3">
      <c r="A202" s="11">
        <v>455100000</v>
      </c>
      <c r="B202" s="46"/>
      <c r="C202" s="71" t="s">
        <v>63</v>
      </c>
      <c r="D202" s="71"/>
      <c r="E202" s="28">
        <f>F202+H202</f>
        <v>1025417</v>
      </c>
      <c r="F202" s="82">
        <f>580348+445069</f>
        <v>1025417</v>
      </c>
      <c r="G202" s="82"/>
      <c r="H202" s="82"/>
      <c r="I202" s="82"/>
    </row>
    <row r="203" spans="1:9" s="6" customFormat="1" ht="39" customHeight="1" x14ac:dyDescent="0.3">
      <c r="A203" s="83"/>
      <c r="B203" s="83"/>
      <c r="C203" s="70" t="s">
        <v>150</v>
      </c>
      <c r="D203" s="70"/>
      <c r="E203" s="24"/>
      <c r="F203" s="84"/>
      <c r="G203" s="84"/>
      <c r="H203" s="84"/>
      <c r="I203" s="84"/>
    </row>
    <row r="204" spans="1:9" s="6" customFormat="1" ht="119.25" customHeight="1" x14ac:dyDescent="0.3">
      <c r="A204" s="47" t="s">
        <v>253</v>
      </c>
      <c r="B204" s="48">
        <v>9311</v>
      </c>
      <c r="C204" s="102" t="s">
        <v>254</v>
      </c>
      <c r="D204" s="103"/>
      <c r="E204" s="45">
        <f>SUM(E205:E207)</f>
        <v>6750000</v>
      </c>
      <c r="F204" s="87"/>
      <c r="G204" s="87"/>
      <c r="H204" s="87"/>
      <c r="I204" s="87"/>
    </row>
    <row r="205" spans="1:9" s="6" customFormat="1" ht="32.25" customHeight="1" x14ac:dyDescent="0.3">
      <c r="A205" s="12">
        <v>410000000</v>
      </c>
      <c r="B205" s="43"/>
      <c r="C205" s="86" t="s">
        <v>0</v>
      </c>
      <c r="D205" s="86"/>
      <c r="E205" s="25">
        <f>1638000+5112000-2064124-687047-2063526</f>
        <v>1935303</v>
      </c>
      <c r="F205" s="91"/>
      <c r="G205" s="92"/>
      <c r="H205" s="92"/>
      <c r="I205" s="97"/>
    </row>
    <row r="206" spans="1:9" ht="33" customHeight="1" x14ac:dyDescent="0.3">
      <c r="A206" s="11">
        <v>457100000</v>
      </c>
      <c r="B206" s="46"/>
      <c r="C206" s="71" t="s">
        <v>111</v>
      </c>
      <c r="D206" s="71"/>
      <c r="E206" s="28">
        <f>2064124+1651298</f>
        <v>3715422</v>
      </c>
      <c r="F206" s="75"/>
      <c r="G206" s="76"/>
      <c r="H206" s="76"/>
      <c r="I206" s="77"/>
    </row>
    <row r="207" spans="1:9" ht="33" customHeight="1" x14ac:dyDescent="0.3">
      <c r="A207" s="11">
        <v>457500000</v>
      </c>
      <c r="B207" s="46"/>
      <c r="C207" s="71" t="s">
        <v>16</v>
      </c>
      <c r="D207" s="71"/>
      <c r="E207" s="28">
        <f>687047+412228</f>
        <v>1099275</v>
      </c>
      <c r="F207" s="75"/>
      <c r="G207" s="76"/>
      <c r="H207" s="76"/>
      <c r="I207" s="77"/>
    </row>
    <row r="208" spans="1:9" s="6" customFormat="1" ht="39.75" customHeight="1" x14ac:dyDescent="0.3">
      <c r="A208" s="130"/>
      <c r="B208" s="131"/>
      <c r="C208" s="93" t="s">
        <v>271</v>
      </c>
      <c r="D208" s="94"/>
      <c r="E208" s="25"/>
      <c r="F208" s="75"/>
      <c r="G208" s="76"/>
      <c r="H208" s="76"/>
      <c r="I208" s="77"/>
    </row>
    <row r="209" spans="1:9" s="6" customFormat="1" ht="66" customHeight="1" x14ac:dyDescent="0.3">
      <c r="A209" s="47">
        <v>1119518</v>
      </c>
      <c r="B209" s="48">
        <v>9518</v>
      </c>
      <c r="C209" s="102" t="s">
        <v>270</v>
      </c>
      <c r="D209" s="103"/>
      <c r="E209" s="25">
        <f>SUM(E210:E223)</f>
        <v>1502064</v>
      </c>
      <c r="F209" s="75"/>
      <c r="G209" s="76"/>
      <c r="H209" s="76"/>
      <c r="I209" s="77"/>
    </row>
    <row r="210" spans="1:9" ht="33" customHeight="1" x14ac:dyDescent="0.3">
      <c r="A210" s="11">
        <v>457600000</v>
      </c>
      <c r="B210" s="46"/>
      <c r="C210" s="71" t="s">
        <v>17</v>
      </c>
      <c r="D210" s="71"/>
      <c r="E210" s="26">
        <f>158112</f>
        <v>158112</v>
      </c>
      <c r="F210" s="75"/>
      <c r="G210" s="76"/>
      <c r="H210" s="76"/>
      <c r="I210" s="77"/>
    </row>
    <row r="211" spans="1:9" ht="33" customHeight="1" x14ac:dyDescent="0.3">
      <c r="A211" s="11">
        <v>457810000</v>
      </c>
      <c r="B211" s="46"/>
      <c r="C211" s="71" t="s">
        <v>19</v>
      </c>
      <c r="D211" s="71"/>
      <c r="E211" s="26">
        <f>140544</f>
        <v>140544</v>
      </c>
      <c r="F211" s="75"/>
      <c r="G211" s="76"/>
      <c r="H211" s="76"/>
      <c r="I211" s="77"/>
    </row>
    <row r="212" spans="1:9" ht="33" customHeight="1" x14ac:dyDescent="0.3">
      <c r="A212" s="11">
        <v>458200000</v>
      </c>
      <c r="B212" s="46"/>
      <c r="C212" s="71" t="s">
        <v>22</v>
      </c>
      <c r="D212" s="71"/>
      <c r="E212" s="26">
        <f t="shared" ref="E212:E215" si="10">70272</f>
        <v>70272</v>
      </c>
      <c r="F212" s="75"/>
      <c r="G212" s="76"/>
      <c r="H212" s="76"/>
      <c r="I212" s="77"/>
    </row>
    <row r="213" spans="1:9" ht="33" customHeight="1" x14ac:dyDescent="0.3">
      <c r="A213" s="11">
        <v>458400000</v>
      </c>
      <c r="B213" s="46"/>
      <c r="C213" s="71" t="s">
        <v>24</v>
      </c>
      <c r="D213" s="71"/>
      <c r="E213" s="26">
        <f t="shared" si="10"/>
        <v>70272</v>
      </c>
      <c r="F213" s="75"/>
      <c r="G213" s="76"/>
      <c r="H213" s="76"/>
      <c r="I213" s="77"/>
    </row>
    <row r="214" spans="1:9" s="6" customFormat="1" ht="33" customHeight="1" x14ac:dyDescent="0.3">
      <c r="A214" s="11">
        <v>453600000</v>
      </c>
      <c r="B214" s="46"/>
      <c r="C214" s="71" t="s">
        <v>55</v>
      </c>
      <c r="D214" s="71"/>
      <c r="E214" s="28">
        <f t="shared" si="10"/>
        <v>70272</v>
      </c>
      <c r="F214" s="75"/>
      <c r="G214" s="76"/>
      <c r="H214" s="76"/>
      <c r="I214" s="77"/>
    </row>
    <row r="215" spans="1:9" ht="33" customHeight="1" x14ac:dyDescent="0.3">
      <c r="A215" s="11">
        <v>455300000</v>
      </c>
      <c r="B215" s="46"/>
      <c r="C215" s="71" t="s">
        <v>65</v>
      </c>
      <c r="D215" s="71"/>
      <c r="E215" s="28">
        <f t="shared" si="10"/>
        <v>70272</v>
      </c>
      <c r="F215" s="75"/>
      <c r="G215" s="76"/>
      <c r="H215" s="76"/>
      <c r="I215" s="77"/>
    </row>
    <row r="216" spans="1:9" s="6" customFormat="1" ht="33" customHeight="1" x14ac:dyDescent="0.3">
      <c r="A216" s="11">
        <v>456500000</v>
      </c>
      <c r="B216" s="46"/>
      <c r="C216" s="71" t="s">
        <v>9</v>
      </c>
      <c r="D216" s="71"/>
      <c r="E216" s="28">
        <f>70272+70272</f>
        <v>140544</v>
      </c>
      <c r="F216" s="75"/>
      <c r="G216" s="76"/>
      <c r="H216" s="76"/>
      <c r="I216" s="77"/>
    </row>
    <row r="217" spans="1:9" ht="33" customHeight="1" x14ac:dyDescent="0.3">
      <c r="A217" s="11">
        <v>451200000</v>
      </c>
      <c r="B217" s="46"/>
      <c r="C217" s="71" t="s">
        <v>40</v>
      </c>
      <c r="D217" s="71"/>
      <c r="E217" s="28">
        <f>140544+70272</f>
        <v>210816</v>
      </c>
      <c r="F217" s="75"/>
      <c r="G217" s="76"/>
      <c r="H217" s="76"/>
      <c r="I217" s="77"/>
    </row>
    <row r="218" spans="1:9" s="6" customFormat="1" ht="33" customHeight="1" x14ac:dyDescent="0.3">
      <c r="A218" s="11">
        <v>454300000</v>
      </c>
      <c r="B218" s="46"/>
      <c r="C218" s="71" t="s">
        <v>59</v>
      </c>
      <c r="D218" s="71"/>
      <c r="E218" s="28">
        <f>70272</f>
        <v>70272</v>
      </c>
      <c r="F218" s="75"/>
      <c r="G218" s="76"/>
      <c r="H218" s="76"/>
      <c r="I218" s="77"/>
    </row>
    <row r="219" spans="1:9" s="6" customFormat="1" ht="33" customHeight="1" x14ac:dyDescent="0.3">
      <c r="A219" s="11">
        <v>456800000</v>
      </c>
      <c r="B219" s="46"/>
      <c r="C219" s="71" t="s">
        <v>12</v>
      </c>
      <c r="D219" s="71"/>
      <c r="E219" s="28">
        <f>70272</f>
        <v>70272</v>
      </c>
      <c r="F219" s="75"/>
      <c r="G219" s="76"/>
      <c r="H219" s="76"/>
      <c r="I219" s="77"/>
    </row>
    <row r="220" spans="1:9" ht="33" customHeight="1" x14ac:dyDescent="0.3">
      <c r="A220" s="11">
        <v>451500000</v>
      </c>
      <c r="B220" s="46"/>
      <c r="C220" s="71" t="s">
        <v>42</v>
      </c>
      <c r="D220" s="71"/>
      <c r="E220" s="28">
        <f>219600</f>
        <v>219600</v>
      </c>
      <c r="F220" s="75"/>
      <c r="G220" s="76"/>
      <c r="H220" s="76"/>
      <c r="I220" s="77"/>
    </row>
    <row r="221" spans="1:9" ht="33" customHeight="1" x14ac:dyDescent="0.3">
      <c r="A221" s="11">
        <v>452600000</v>
      </c>
      <c r="B221" s="46"/>
      <c r="C221" s="71" t="s">
        <v>50</v>
      </c>
      <c r="D221" s="71"/>
      <c r="E221" s="28">
        <f>70272</f>
        <v>70272</v>
      </c>
      <c r="F221" s="75"/>
      <c r="G221" s="76"/>
      <c r="H221" s="76"/>
      <c r="I221" s="77"/>
    </row>
    <row r="222" spans="1:9" ht="33" customHeight="1" x14ac:dyDescent="0.3">
      <c r="A222" s="11">
        <v>452700000</v>
      </c>
      <c r="B222" s="46"/>
      <c r="C222" s="71" t="s">
        <v>51</v>
      </c>
      <c r="D222" s="71"/>
      <c r="E222" s="28">
        <f>70272</f>
        <v>70272</v>
      </c>
      <c r="F222" s="75"/>
      <c r="G222" s="76"/>
      <c r="H222" s="76"/>
      <c r="I222" s="77"/>
    </row>
    <row r="223" spans="1:9" s="2" customFormat="1" ht="33" customHeight="1" x14ac:dyDescent="0.3">
      <c r="A223" s="11">
        <v>456700000</v>
      </c>
      <c r="B223" s="46"/>
      <c r="C223" s="71" t="s">
        <v>11</v>
      </c>
      <c r="D223" s="71"/>
      <c r="E223" s="28">
        <f>70272</f>
        <v>70272</v>
      </c>
      <c r="F223" s="113"/>
      <c r="G223" s="114"/>
      <c r="H223" s="114"/>
      <c r="I223" s="115"/>
    </row>
    <row r="224" spans="1:9" s="4" customFormat="1" ht="39.75" customHeight="1" x14ac:dyDescent="0.3">
      <c r="A224" s="69"/>
      <c r="B224" s="69"/>
      <c r="C224" s="70" t="s">
        <v>141</v>
      </c>
      <c r="D224" s="70"/>
      <c r="E224" s="33"/>
      <c r="F224" s="98"/>
      <c r="G224" s="99"/>
      <c r="H224" s="99"/>
      <c r="I224" s="100"/>
    </row>
    <row r="225" spans="1:9" s="4" customFormat="1" ht="39.75" customHeight="1" x14ac:dyDescent="0.3">
      <c r="A225" s="109" t="s">
        <v>310</v>
      </c>
      <c r="B225" s="111">
        <v>9535</v>
      </c>
      <c r="C225" s="102" t="s">
        <v>311</v>
      </c>
      <c r="D225" s="103"/>
      <c r="E225" s="106">
        <f>F226+H226</f>
        <v>192117000</v>
      </c>
      <c r="F225" s="87" t="s">
        <v>279</v>
      </c>
      <c r="G225" s="87"/>
      <c r="H225" s="87" t="s">
        <v>116</v>
      </c>
      <c r="I225" s="87"/>
    </row>
    <row r="226" spans="1:9" ht="57" customHeight="1" x14ac:dyDescent="0.3">
      <c r="A226" s="110"/>
      <c r="B226" s="112"/>
      <c r="C226" s="104"/>
      <c r="D226" s="105"/>
      <c r="E226" s="107"/>
      <c r="F226" s="78">
        <f>SUM(F227:G230)</f>
        <v>142117000</v>
      </c>
      <c r="G226" s="78"/>
      <c r="H226" s="78">
        <f>SUM(H227:I230)</f>
        <v>50000000</v>
      </c>
      <c r="I226" s="78"/>
    </row>
    <row r="227" spans="1:9" ht="33" customHeight="1" x14ac:dyDescent="0.3">
      <c r="A227" s="11">
        <v>457100000</v>
      </c>
      <c r="B227" s="46"/>
      <c r="C227" s="71" t="s">
        <v>111</v>
      </c>
      <c r="D227" s="71"/>
      <c r="E227" s="28">
        <f>F227+H227</f>
        <v>76967178</v>
      </c>
      <c r="F227" s="74">
        <f>58965037</f>
        <v>58965037</v>
      </c>
      <c r="G227" s="74"/>
      <c r="H227" s="74">
        <f>18002141</f>
        <v>18002141</v>
      </c>
      <c r="I227" s="74"/>
    </row>
    <row r="228" spans="1:9" ht="33" customHeight="1" x14ac:dyDescent="0.3">
      <c r="A228" s="11">
        <v>458400000</v>
      </c>
      <c r="B228" s="46"/>
      <c r="C228" s="71" t="s">
        <v>24</v>
      </c>
      <c r="D228" s="71"/>
      <c r="E228" s="28">
        <f t="shared" ref="E228:E230" si="11">F228+H228</f>
        <v>107173636</v>
      </c>
      <c r="F228" s="74">
        <f>81451963</f>
        <v>81451963</v>
      </c>
      <c r="G228" s="74"/>
      <c r="H228" s="74">
        <f>25721673</f>
        <v>25721673</v>
      </c>
      <c r="I228" s="74"/>
    </row>
    <row r="229" spans="1:9" ht="33" customHeight="1" x14ac:dyDescent="0.3">
      <c r="A229" s="11" t="s">
        <v>181</v>
      </c>
      <c r="B229" s="46"/>
      <c r="C229" s="71" t="s">
        <v>182</v>
      </c>
      <c r="D229" s="71"/>
      <c r="E229" s="28">
        <f t="shared" si="11"/>
        <v>1700000</v>
      </c>
      <c r="F229" s="74">
        <f>1700000</f>
        <v>1700000</v>
      </c>
      <c r="G229" s="74"/>
      <c r="H229" s="74"/>
      <c r="I229" s="74"/>
    </row>
    <row r="230" spans="1:9" s="2" customFormat="1" ht="33" customHeight="1" x14ac:dyDescent="0.3">
      <c r="A230" s="11">
        <v>452500000</v>
      </c>
      <c r="B230" s="46"/>
      <c r="C230" s="71" t="s">
        <v>49</v>
      </c>
      <c r="D230" s="71"/>
      <c r="E230" s="28">
        <f t="shared" si="11"/>
        <v>6276186</v>
      </c>
      <c r="F230" s="74"/>
      <c r="G230" s="74"/>
      <c r="H230" s="74">
        <f>6276186</f>
        <v>6276186</v>
      </c>
      <c r="I230" s="74"/>
    </row>
    <row r="231" spans="1:9" s="4" customFormat="1" ht="33" customHeight="1" x14ac:dyDescent="0.3">
      <c r="A231" s="83"/>
      <c r="B231" s="83"/>
      <c r="C231" s="85" t="s">
        <v>140</v>
      </c>
      <c r="D231" s="85"/>
      <c r="E231" s="24"/>
      <c r="F231" s="125"/>
      <c r="G231" s="125"/>
      <c r="H231" s="125"/>
      <c r="I231" s="125"/>
    </row>
    <row r="232" spans="1:9" s="6" customFormat="1" ht="48" customHeight="1" x14ac:dyDescent="0.3">
      <c r="A232" s="17" t="s">
        <v>106</v>
      </c>
      <c r="B232" s="18">
        <v>9770</v>
      </c>
      <c r="C232" s="86" t="s">
        <v>144</v>
      </c>
      <c r="D232" s="86"/>
      <c r="E232" s="25">
        <f>SUM(E233:E312)</f>
        <v>91634676</v>
      </c>
      <c r="F232" s="91"/>
      <c r="G232" s="92"/>
      <c r="H232" s="92"/>
      <c r="I232" s="97"/>
    </row>
    <row r="233" spans="1:9" s="6" customFormat="1" ht="32.25" customHeight="1" x14ac:dyDescent="0.3">
      <c r="A233" s="12">
        <v>410000000</v>
      </c>
      <c r="B233" s="43"/>
      <c r="C233" s="86" t="s">
        <v>0</v>
      </c>
      <c r="D233" s="86"/>
      <c r="E233" s="25">
        <f>90000000-73488096+29250000+150000-7616724-28758735-2440427-1854482-3307327+150000-500155-1430045-150000</f>
        <v>4009</v>
      </c>
      <c r="F233" s="91"/>
      <c r="G233" s="92"/>
      <c r="H233" s="92"/>
      <c r="I233" s="97"/>
    </row>
    <row r="234" spans="1:9" ht="33" customHeight="1" x14ac:dyDescent="0.3">
      <c r="A234" s="11">
        <v>457400000</v>
      </c>
      <c r="B234" s="46"/>
      <c r="C234" s="72" t="s">
        <v>15</v>
      </c>
      <c r="D234" s="73"/>
      <c r="E234" s="28">
        <f>180000+202155-50000</f>
        <v>332155</v>
      </c>
      <c r="F234" s="75"/>
      <c r="G234" s="76"/>
      <c r="H234" s="76"/>
      <c r="I234" s="77"/>
    </row>
    <row r="235" spans="1:9" ht="33" customHeight="1" x14ac:dyDescent="0.3">
      <c r="A235" s="11">
        <v>457600000</v>
      </c>
      <c r="B235" s="46"/>
      <c r="C235" s="71" t="s">
        <v>17</v>
      </c>
      <c r="D235" s="71"/>
      <c r="E235" s="28">
        <f>36827410-150000-672000+9837082-150000</f>
        <v>45692492</v>
      </c>
      <c r="F235" s="82"/>
      <c r="G235" s="82"/>
      <c r="H235" s="82"/>
      <c r="I235" s="82"/>
    </row>
    <row r="236" spans="1:9" ht="33" customHeight="1" x14ac:dyDescent="0.3">
      <c r="A236" s="11">
        <v>457700000</v>
      </c>
      <c r="B236" s="46"/>
      <c r="C236" s="71" t="s">
        <v>18</v>
      </c>
      <c r="D236" s="71"/>
      <c r="E236" s="28">
        <f>455862-275862+30000</f>
        <v>210000</v>
      </c>
      <c r="F236" s="75"/>
      <c r="G236" s="76"/>
      <c r="H236" s="76"/>
      <c r="I236" s="77"/>
    </row>
    <row r="237" spans="1:9" ht="33" customHeight="1" x14ac:dyDescent="0.3">
      <c r="A237" s="11">
        <v>457100000</v>
      </c>
      <c r="B237" s="46"/>
      <c r="C237" s="71" t="s">
        <v>111</v>
      </c>
      <c r="D237" s="71"/>
      <c r="E237" s="28">
        <f>1951724+26155</f>
        <v>1977879</v>
      </c>
      <c r="F237" s="75"/>
      <c r="G237" s="76"/>
      <c r="H237" s="76"/>
      <c r="I237" s="77"/>
    </row>
    <row r="238" spans="1:9" ht="33" customHeight="1" x14ac:dyDescent="0.3">
      <c r="A238" s="11">
        <v>457810000</v>
      </c>
      <c r="B238" s="46"/>
      <c r="C238" s="71" t="s">
        <v>19</v>
      </c>
      <c r="D238" s="71"/>
      <c r="E238" s="28">
        <f>9690516-95000+3060170-160000-725862+402000</f>
        <v>12171824</v>
      </c>
      <c r="F238" s="75"/>
      <c r="G238" s="76"/>
      <c r="H238" s="76"/>
      <c r="I238" s="77"/>
    </row>
    <row r="239" spans="1:9" ht="33" customHeight="1" x14ac:dyDescent="0.3">
      <c r="A239" s="11">
        <v>456100000</v>
      </c>
      <c r="B239" s="46"/>
      <c r="C239" s="71" t="s">
        <v>31</v>
      </c>
      <c r="D239" s="71"/>
      <c r="E239" s="28">
        <f>150000-100000</f>
        <v>50000</v>
      </c>
      <c r="F239" s="75"/>
      <c r="G239" s="76"/>
      <c r="H239" s="76"/>
      <c r="I239" s="77"/>
    </row>
    <row r="240" spans="1:9" ht="33" customHeight="1" x14ac:dyDescent="0.3">
      <c r="A240" s="11">
        <v>458100000</v>
      </c>
      <c r="B240" s="46"/>
      <c r="C240" s="71" t="s">
        <v>21</v>
      </c>
      <c r="D240" s="71"/>
      <c r="E240" s="28">
        <f>1446724+394310</f>
        <v>1841034</v>
      </c>
      <c r="F240" s="75"/>
      <c r="G240" s="76"/>
      <c r="H240" s="76"/>
      <c r="I240" s="77"/>
    </row>
    <row r="241" spans="1:9" ht="33" customHeight="1" x14ac:dyDescent="0.3">
      <c r="A241" s="11">
        <v>458200000</v>
      </c>
      <c r="B241" s="46"/>
      <c r="C241" s="71" t="s">
        <v>22</v>
      </c>
      <c r="D241" s="71"/>
      <c r="E241" s="28">
        <f>498862+59155</f>
        <v>558017</v>
      </c>
      <c r="F241" s="75"/>
      <c r="G241" s="76"/>
      <c r="H241" s="76"/>
      <c r="I241" s="77"/>
    </row>
    <row r="242" spans="1:9" ht="33" customHeight="1" x14ac:dyDescent="0.3">
      <c r="A242" s="11">
        <v>458400000</v>
      </c>
      <c r="B242" s="46"/>
      <c r="C242" s="71" t="s">
        <v>24</v>
      </c>
      <c r="D242" s="71"/>
      <c r="E242" s="28">
        <f>1186724-100000+322310</f>
        <v>1409034</v>
      </c>
      <c r="F242" s="75"/>
      <c r="G242" s="76"/>
      <c r="H242" s="76"/>
      <c r="I242" s="77"/>
    </row>
    <row r="243" spans="1:9" ht="33" customHeight="1" x14ac:dyDescent="0.3">
      <c r="A243" s="11">
        <v>458500000</v>
      </c>
      <c r="B243" s="46"/>
      <c r="C243" s="71" t="s">
        <v>25</v>
      </c>
      <c r="D243" s="71"/>
      <c r="E243" s="28">
        <f>150000+290000</f>
        <v>440000</v>
      </c>
      <c r="F243" s="75"/>
      <c r="G243" s="76"/>
      <c r="H243" s="76"/>
      <c r="I243" s="77"/>
    </row>
    <row r="244" spans="1:9" ht="33" customHeight="1" x14ac:dyDescent="0.3">
      <c r="A244" s="11">
        <v>456200000</v>
      </c>
      <c r="B244" s="46"/>
      <c r="C244" s="71" t="s">
        <v>32</v>
      </c>
      <c r="D244" s="71"/>
      <c r="E244" s="28">
        <f>340000+182155</f>
        <v>522155</v>
      </c>
      <c r="F244" s="75"/>
      <c r="G244" s="76"/>
      <c r="H244" s="76"/>
      <c r="I244" s="77"/>
    </row>
    <row r="245" spans="1:9" ht="33" customHeight="1" x14ac:dyDescent="0.3">
      <c r="A245" s="11">
        <v>458900000</v>
      </c>
      <c r="B245" s="46"/>
      <c r="C245" s="71" t="s">
        <v>29</v>
      </c>
      <c r="D245" s="71"/>
      <c r="E245" s="28">
        <f>160000+60000</f>
        <v>220000</v>
      </c>
      <c r="F245" s="75"/>
      <c r="G245" s="76"/>
      <c r="H245" s="76"/>
      <c r="I245" s="77"/>
    </row>
    <row r="246" spans="1:9" ht="33" customHeight="1" x14ac:dyDescent="0.3">
      <c r="A246" s="11">
        <v>459100000</v>
      </c>
      <c r="B246" s="46"/>
      <c r="C246" s="71" t="s">
        <v>30</v>
      </c>
      <c r="D246" s="71"/>
      <c r="E246" s="28">
        <f>1051724-50000+193445</f>
        <v>1195169</v>
      </c>
      <c r="F246" s="75"/>
      <c r="G246" s="76"/>
      <c r="H246" s="76"/>
      <c r="I246" s="77"/>
    </row>
    <row r="247" spans="1:9" ht="33" customHeight="1" x14ac:dyDescent="0.3">
      <c r="A247" s="11">
        <v>450100000</v>
      </c>
      <c r="B247" s="46"/>
      <c r="C247" s="71" t="s">
        <v>33</v>
      </c>
      <c r="D247" s="71"/>
      <c r="E247" s="28">
        <f>125000+10000</f>
        <v>135000</v>
      </c>
      <c r="F247" s="75"/>
      <c r="G247" s="76"/>
      <c r="H247" s="76"/>
      <c r="I247" s="77"/>
    </row>
    <row r="248" spans="1:9" ht="33" customHeight="1" x14ac:dyDescent="0.3">
      <c r="A248" s="11">
        <v>450200000</v>
      </c>
      <c r="B248" s="46"/>
      <c r="C248" s="71" t="s">
        <v>34</v>
      </c>
      <c r="D248" s="71"/>
      <c r="E248" s="28">
        <f>160000+37155</f>
        <v>197155</v>
      </c>
      <c r="F248" s="75"/>
      <c r="G248" s="76"/>
      <c r="H248" s="76"/>
      <c r="I248" s="77"/>
    </row>
    <row r="249" spans="1:9" ht="33" customHeight="1" x14ac:dyDescent="0.3">
      <c r="A249" s="11">
        <v>451800000</v>
      </c>
      <c r="B249" s="46"/>
      <c r="C249" s="71" t="s">
        <v>35</v>
      </c>
      <c r="D249" s="71"/>
      <c r="E249" s="28">
        <f>835862+252155</f>
        <v>1088017</v>
      </c>
      <c r="F249" s="75"/>
      <c r="G249" s="76"/>
      <c r="H249" s="76"/>
      <c r="I249" s="77"/>
    </row>
    <row r="250" spans="1:9" ht="33" customHeight="1" x14ac:dyDescent="0.3">
      <c r="A250" s="11">
        <v>457200000</v>
      </c>
      <c r="B250" s="46"/>
      <c r="C250" s="72" t="s">
        <v>14</v>
      </c>
      <c r="D250" s="73"/>
      <c r="E250" s="28">
        <f>80000+52155</f>
        <v>132155</v>
      </c>
      <c r="F250" s="75"/>
      <c r="G250" s="76"/>
      <c r="H250" s="76"/>
      <c r="I250" s="77"/>
    </row>
    <row r="251" spans="1:9" s="6" customFormat="1" ht="33" customHeight="1" x14ac:dyDescent="0.3">
      <c r="A251" s="11">
        <v>450500000</v>
      </c>
      <c r="B251" s="46"/>
      <c r="C251" s="71" t="s">
        <v>155</v>
      </c>
      <c r="D251" s="71"/>
      <c r="E251" s="28">
        <f>75000+20000</f>
        <v>95000</v>
      </c>
      <c r="F251" s="75"/>
      <c r="G251" s="76"/>
      <c r="H251" s="76"/>
      <c r="I251" s="77"/>
    </row>
    <row r="252" spans="1:9" ht="33" customHeight="1" x14ac:dyDescent="0.3">
      <c r="A252" s="11">
        <v>451900000</v>
      </c>
      <c r="B252" s="46"/>
      <c r="C252" s="71" t="s">
        <v>44</v>
      </c>
      <c r="D252" s="71"/>
      <c r="E252" s="28">
        <f>675862-250862+750172</f>
        <v>1175172</v>
      </c>
      <c r="F252" s="75"/>
      <c r="G252" s="76"/>
      <c r="H252" s="76"/>
      <c r="I252" s="77"/>
    </row>
    <row r="253" spans="1:9" ht="33" customHeight="1" x14ac:dyDescent="0.3">
      <c r="A253" s="11">
        <v>452900000</v>
      </c>
      <c r="B253" s="46"/>
      <c r="C253" s="71" t="s">
        <v>52</v>
      </c>
      <c r="D253" s="71"/>
      <c r="E253" s="28">
        <f>510000+302155</f>
        <v>812155</v>
      </c>
      <c r="F253" s="75"/>
      <c r="G253" s="76"/>
      <c r="H253" s="76"/>
      <c r="I253" s="77"/>
    </row>
    <row r="254" spans="1:9" ht="33" customHeight="1" x14ac:dyDescent="0.3">
      <c r="A254" s="11">
        <v>450300000</v>
      </c>
      <c r="B254" s="46"/>
      <c r="C254" s="71" t="s">
        <v>36</v>
      </c>
      <c r="D254" s="71"/>
      <c r="E254" s="28">
        <f>110000-53800+15000</f>
        <v>71200</v>
      </c>
      <c r="F254" s="75"/>
      <c r="G254" s="76"/>
      <c r="H254" s="76"/>
      <c r="I254" s="77"/>
    </row>
    <row r="255" spans="1:9" ht="33" customHeight="1" x14ac:dyDescent="0.3">
      <c r="A255" s="11">
        <v>457300000</v>
      </c>
      <c r="B255" s="46"/>
      <c r="C255" s="71" t="s">
        <v>101</v>
      </c>
      <c r="D255" s="71"/>
      <c r="E255" s="28">
        <f>140000+20000</f>
        <v>160000</v>
      </c>
      <c r="F255" s="75"/>
      <c r="G255" s="76"/>
      <c r="H255" s="76"/>
      <c r="I255" s="77"/>
    </row>
    <row r="256" spans="1:9" ht="33" customHeight="1" x14ac:dyDescent="0.3">
      <c r="A256" s="11">
        <v>453600000</v>
      </c>
      <c r="B256" s="46"/>
      <c r="C256" s="71" t="s">
        <v>55</v>
      </c>
      <c r="D256" s="71"/>
      <c r="E256" s="28">
        <f>2287586+776465-5000</f>
        <v>3059051</v>
      </c>
      <c r="F256" s="75"/>
      <c r="G256" s="76"/>
      <c r="H256" s="76"/>
      <c r="I256" s="77"/>
    </row>
    <row r="257" spans="1:9" ht="33" customHeight="1" x14ac:dyDescent="0.3">
      <c r="A257" s="11">
        <v>452000000</v>
      </c>
      <c r="B257" s="46"/>
      <c r="C257" s="71" t="s">
        <v>45</v>
      </c>
      <c r="D257" s="71"/>
      <c r="E257" s="28">
        <f>145862+10155</f>
        <v>156017</v>
      </c>
      <c r="F257" s="75"/>
      <c r="G257" s="76"/>
      <c r="H257" s="76"/>
      <c r="I257" s="77"/>
    </row>
    <row r="258" spans="1:9" ht="33" customHeight="1" x14ac:dyDescent="0.3">
      <c r="A258" s="11">
        <v>456300000</v>
      </c>
      <c r="B258" s="46"/>
      <c r="C258" s="71" t="s">
        <v>7</v>
      </c>
      <c r="D258" s="71"/>
      <c r="E258" s="28">
        <f>111862</f>
        <v>111862</v>
      </c>
      <c r="F258" s="75"/>
      <c r="G258" s="76"/>
      <c r="H258" s="76"/>
      <c r="I258" s="77"/>
    </row>
    <row r="259" spans="1:9" ht="33" customHeight="1" x14ac:dyDescent="0.3">
      <c r="A259" s="11">
        <v>453000000</v>
      </c>
      <c r="B259" s="46"/>
      <c r="C259" s="71" t="s">
        <v>53</v>
      </c>
      <c r="D259" s="71"/>
      <c r="E259" s="28">
        <f>45000+185000</f>
        <v>230000</v>
      </c>
      <c r="F259" s="75"/>
      <c r="G259" s="76"/>
      <c r="H259" s="76"/>
      <c r="I259" s="77"/>
    </row>
    <row r="260" spans="1:9" ht="33" customHeight="1" x14ac:dyDescent="0.3">
      <c r="A260" s="11">
        <v>450700000</v>
      </c>
      <c r="B260" s="46"/>
      <c r="C260" s="71" t="s">
        <v>38</v>
      </c>
      <c r="D260" s="71"/>
      <c r="E260" s="28">
        <f>62000+8000</f>
        <v>70000</v>
      </c>
      <c r="F260" s="75"/>
      <c r="G260" s="76"/>
      <c r="H260" s="76"/>
      <c r="I260" s="77"/>
    </row>
    <row r="261" spans="1:9" ht="33" customHeight="1" x14ac:dyDescent="0.3">
      <c r="A261" s="11">
        <v>457500000</v>
      </c>
      <c r="B261" s="46"/>
      <c r="C261" s="71" t="s">
        <v>16</v>
      </c>
      <c r="D261" s="71"/>
      <c r="E261" s="28">
        <f>180000</f>
        <v>180000</v>
      </c>
      <c r="F261" s="75"/>
      <c r="G261" s="76"/>
      <c r="H261" s="76"/>
      <c r="I261" s="77"/>
    </row>
    <row r="262" spans="1:9" ht="33" customHeight="1" x14ac:dyDescent="0.3">
      <c r="A262" s="11">
        <v>453500000</v>
      </c>
      <c r="B262" s="46"/>
      <c r="C262" s="71" t="s">
        <v>6</v>
      </c>
      <c r="D262" s="71"/>
      <c r="E262" s="28">
        <f>300000</f>
        <v>300000</v>
      </c>
      <c r="F262" s="75"/>
      <c r="G262" s="76"/>
      <c r="H262" s="76"/>
      <c r="I262" s="77"/>
    </row>
    <row r="263" spans="1:9" ht="33" customHeight="1" x14ac:dyDescent="0.3">
      <c r="A263" s="11">
        <v>456400000</v>
      </c>
      <c r="B263" s="46"/>
      <c r="C263" s="71" t="s">
        <v>8</v>
      </c>
      <c r="D263" s="71"/>
      <c r="E263" s="28">
        <f>20000</f>
        <v>20000</v>
      </c>
      <c r="F263" s="75"/>
      <c r="G263" s="76"/>
      <c r="H263" s="76"/>
      <c r="I263" s="77"/>
    </row>
    <row r="264" spans="1:9" ht="33" customHeight="1" x14ac:dyDescent="0.3">
      <c r="A264" s="11">
        <v>450600000</v>
      </c>
      <c r="B264" s="46"/>
      <c r="C264" s="71" t="s">
        <v>37</v>
      </c>
      <c r="D264" s="71"/>
      <c r="E264" s="28">
        <f>62000+58000</f>
        <v>120000</v>
      </c>
      <c r="F264" s="75"/>
      <c r="G264" s="76"/>
      <c r="H264" s="76"/>
      <c r="I264" s="77"/>
    </row>
    <row r="265" spans="1:9" ht="33" customHeight="1" x14ac:dyDescent="0.3">
      <c r="A265" s="11">
        <v>454700000</v>
      </c>
      <c r="B265" s="46"/>
      <c r="C265" s="71" t="s">
        <v>61</v>
      </c>
      <c r="D265" s="71"/>
      <c r="E265" s="28">
        <f>130000+50000</f>
        <v>180000</v>
      </c>
      <c r="F265" s="75"/>
      <c r="G265" s="76"/>
      <c r="H265" s="76"/>
      <c r="I265" s="77"/>
    </row>
    <row r="266" spans="1:9" ht="33" customHeight="1" x14ac:dyDescent="0.3">
      <c r="A266" s="11">
        <v>455000000</v>
      </c>
      <c r="B266" s="46"/>
      <c r="C266" s="71" t="s">
        <v>62</v>
      </c>
      <c r="D266" s="71"/>
      <c r="E266" s="28">
        <f>60000+122155</f>
        <v>182155</v>
      </c>
      <c r="F266" s="75"/>
      <c r="G266" s="76"/>
      <c r="H266" s="76"/>
      <c r="I266" s="77"/>
    </row>
    <row r="267" spans="1:9" ht="33" customHeight="1" x14ac:dyDescent="0.3">
      <c r="A267" s="11" t="s">
        <v>203</v>
      </c>
      <c r="B267" s="46"/>
      <c r="C267" s="71" t="s">
        <v>204</v>
      </c>
      <c r="D267" s="71"/>
      <c r="E267" s="28">
        <f>390000+90000</f>
        <v>480000</v>
      </c>
      <c r="F267" s="75"/>
      <c r="G267" s="76"/>
      <c r="H267" s="76"/>
      <c r="I267" s="77"/>
    </row>
    <row r="268" spans="1:9" ht="33" customHeight="1" x14ac:dyDescent="0.3">
      <c r="A268" s="11">
        <v>452100000</v>
      </c>
      <c r="B268" s="46"/>
      <c r="C268" s="71" t="s">
        <v>46</v>
      </c>
      <c r="D268" s="71"/>
      <c r="E268" s="28">
        <f>80000+92155</f>
        <v>172155</v>
      </c>
      <c r="F268" s="75"/>
      <c r="G268" s="76"/>
      <c r="H268" s="76"/>
      <c r="I268" s="77"/>
    </row>
    <row r="269" spans="1:9" ht="33" customHeight="1" x14ac:dyDescent="0.3">
      <c r="A269" s="11" t="s">
        <v>181</v>
      </c>
      <c r="B269" s="46"/>
      <c r="C269" s="71" t="s">
        <v>182</v>
      </c>
      <c r="D269" s="71"/>
      <c r="E269" s="26">
        <f>120000-100000+80000</f>
        <v>100000</v>
      </c>
      <c r="F269" s="82"/>
      <c r="G269" s="82"/>
      <c r="H269" s="82"/>
      <c r="I269" s="82"/>
    </row>
    <row r="270" spans="1:9" ht="33" customHeight="1" x14ac:dyDescent="0.3">
      <c r="A270" s="11">
        <v>455700000</v>
      </c>
      <c r="B270" s="46"/>
      <c r="C270" s="71" t="s">
        <v>69</v>
      </c>
      <c r="D270" s="71"/>
      <c r="E270" s="28">
        <f>30000+20000</f>
        <v>50000</v>
      </c>
      <c r="F270" s="75"/>
      <c r="G270" s="76"/>
      <c r="H270" s="76"/>
      <c r="I270" s="77"/>
    </row>
    <row r="271" spans="1:9" ht="33" customHeight="1" x14ac:dyDescent="0.3">
      <c r="A271" s="11">
        <v>457900000</v>
      </c>
      <c r="B271" s="46"/>
      <c r="C271" s="71" t="s">
        <v>20</v>
      </c>
      <c r="D271" s="71"/>
      <c r="E271" s="28">
        <f>900862+282155-164000</f>
        <v>1019017</v>
      </c>
      <c r="F271" s="75"/>
      <c r="G271" s="76"/>
      <c r="H271" s="76"/>
      <c r="I271" s="77"/>
    </row>
    <row r="272" spans="1:9" ht="33" customHeight="1" x14ac:dyDescent="0.3">
      <c r="A272" s="11">
        <v>455300000</v>
      </c>
      <c r="B272" s="46"/>
      <c r="C272" s="71" t="s">
        <v>65</v>
      </c>
      <c r="D272" s="71"/>
      <c r="E272" s="28">
        <f>50000+20000</f>
        <v>70000</v>
      </c>
      <c r="F272" s="75"/>
      <c r="G272" s="76"/>
      <c r="H272" s="76"/>
      <c r="I272" s="77"/>
    </row>
    <row r="273" spans="1:9" ht="33" customHeight="1" x14ac:dyDescent="0.3">
      <c r="A273" s="11" t="s">
        <v>207</v>
      </c>
      <c r="B273" s="46"/>
      <c r="C273" s="71" t="s">
        <v>208</v>
      </c>
      <c r="D273" s="71"/>
      <c r="E273" s="28">
        <f>90000+40000</f>
        <v>130000</v>
      </c>
      <c r="F273" s="75"/>
      <c r="G273" s="76"/>
      <c r="H273" s="76"/>
      <c r="I273" s="77"/>
    </row>
    <row r="274" spans="1:9" ht="33" customHeight="1" x14ac:dyDescent="0.3">
      <c r="A274" s="11">
        <v>456500000</v>
      </c>
      <c r="B274" s="46"/>
      <c r="C274" s="71" t="s">
        <v>9</v>
      </c>
      <c r="D274" s="71"/>
      <c r="E274" s="28">
        <f>887862+136155</f>
        <v>1024017</v>
      </c>
      <c r="F274" s="75"/>
      <c r="G274" s="76"/>
      <c r="H274" s="76"/>
      <c r="I274" s="77"/>
    </row>
    <row r="275" spans="1:9" ht="33" customHeight="1" x14ac:dyDescent="0.3">
      <c r="A275" s="11">
        <v>453100000</v>
      </c>
      <c r="B275" s="46"/>
      <c r="C275" s="71" t="s">
        <v>54</v>
      </c>
      <c r="D275" s="71"/>
      <c r="E275" s="28">
        <f>175862</f>
        <v>175862</v>
      </c>
      <c r="F275" s="75"/>
      <c r="G275" s="76"/>
      <c r="H275" s="76"/>
      <c r="I275" s="77"/>
    </row>
    <row r="276" spans="1:9" ht="33" customHeight="1" x14ac:dyDescent="0.3">
      <c r="A276" s="11">
        <v>454100000</v>
      </c>
      <c r="B276" s="46"/>
      <c r="C276" s="71" t="s">
        <v>73</v>
      </c>
      <c r="D276" s="71"/>
      <c r="E276" s="28">
        <f>135000+25000</f>
        <v>160000</v>
      </c>
      <c r="F276" s="75"/>
      <c r="G276" s="76"/>
      <c r="H276" s="76"/>
      <c r="I276" s="77"/>
    </row>
    <row r="277" spans="1:9" ht="33" customHeight="1" x14ac:dyDescent="0.3">
      <c r="A277" s="11">
        <v>453700000</v>
      </c>
      <c r="B277" s="46"/>
      <c r="C277" s="71" t="s">
        <v>56</v>
      </c>
      <c r="D277" s="71"/>
      <c r="E277" s="28">
        <f>220000+20000</f>
        <v>240000</v>
      </c>
      <c r="F277" s="75"/>
      <c r="G277" s="76"/>
      <c r="H277" s="76"/>
      <c r="I277" s="77"/>
    </row>
    <row r="278" spans="1:9" ht="33" customHeight="1" x14ac:dyDescent="0.3">
      <c r="A278" s="11">
        <v>458000000</v>
      </c>
      <c r="B278" s="46"/>
      <c r="C278" s="71" t="s">
        <v>88</v>
      </c>
      <c r="D278" s="71"/>
      <c r="E278" s="28">
        <f>275000+252155</f>
        <v>527155</v>
      </c>
      <c r="F278" s="75"/>
      <c r="G278" s="76"/>
      <c r="H278" s="76"/>
      <c r="I278" s="77"/>
    </row>
    <row r="279" spans="1:9" ht="33" customHeight="1" x14ac:dyDescent="0.3">
      <c r="A279" s="11">
        <v>454400000</v>
      </c>
      <c r="B279" s="46"/>
      <c r="C279" s="71" t="s">
        <v>87</v>
      </c>
      <c r="D279" s="71"/>
      <c r="E279" s="28">
        <f>100000+70000</f>
        <v>170000</v>
      </c>
      <c r="F279" s="75"/>
      <c r="G279" s="76"/>
      <c r="H279" s="76"/>
      <c r="I279" s="77"/>
    </row>
    <row r="280" spans="1:9" ht="33" customHeight="1" x14ac:dyDescent="0.3">
      <c r="A280" s="11">
        <v>451600000</v>
      </c>
      <c r="B280" s="46"/>
      <c r="C280" s="71" t="s">
        <v>43</v>
      </c>
      <c r="D280" s="71"/>
      <c r="E280" s="28">
        <f>531000-280400+40000</f>
        <v>290600</v>
      </c>
      <c r="F280" s="75"/>
      <c r="G280" s="76"/>
      <c r="H280" s="76"/>
      <c r="I280" s="77"/>
    </row>
    <row r="281" spans="1:9" ht="33" customHeight="1" x14ac:dyDescent="0.3">
      <c r="A281" s="11">
        <v>450900000</v>
      </c>
      <c r="B281" s="46"/>
      <c r="C281" s="71" t="s">
        <v>39</v>
      </c>
      <c r="D281" s="71"/>
      <c r="E281" s="28">
        <f>105000+40000</f>
        <v>145000</v>
      </c>
      <c r="F281" s="75"/>
      <c r="G281" s="76"/>
      <c r="H281" s="76"/>
      <c r="I281" s="77"/>
    </row>
    <row r="282" spans="1:9" ht="33" customHeight="1" x14ac:dyDescent="0.3">
      <c r="A282" s="11" t="s">
        <v>213</v>
      </c>
      <c r="B282" s="46"/>
      <c r="C282" s="71" t="s">
        <v>214</v>
      </c>
      <c r="D282" s="71"/>
      <c r="E282" s="28">
        <f>35000</f>
        <v>35000</v>
      </c>
      <c r="F282" s="75"/>
      <c r="G282" s="76"/>
      <c r="H282" s="76"/>
      <c r="I282" s="77"/>
    </row>
    <row r="283" spans="1:9" s="6" customFormat="1" ht="33" customHeight="1" x14ac:dyDescent="0.3">
      <c r="A283" s="11">
        <v>453200000</v>
      </c>
      <c r="B283" s="46"/>
      <c r="C283" s="71" t="s">
        <v>156</v>
      </c>
      <c r="D283" s="71"/>
      <c r="E283" s="28">
        <f>50000+21155</f>
        <v>71155</v>
      </c>
      <c r="F283" s="75"/>
      <c r="G283" s="76"/>
      <c r="H283" s="76"/>
      <c r="I283" s="77"/>
    </row>
    <row r="284" spans="1:9" ht="33" customHeight="1" x14ac:dyDescent="0.3">
      <c r="A284" s="11">
        <v>451100000</v>
      </c>
      <c r="B284" s="46"/>
      <c r="C284" s="71" t="s">
        <v>74</v>
      </c>
      <c r="D284" s="71"/>
      <c r="E284" s="28">
        <f>925862+362155</f>
        <v>1288017</v>
      </c>
      <c r="F284" s="75"/>
      <c r="G284" s="76"/>
      <c r="H284" s="76"/>
      <c r="I284" s="77"/>
    </row>
    <row r="285" spans="1:9" ht="33" customHeight="1" x14ac:dyDescent="0.3">
      <c r="A285" s="11">
        <v>458300000</v>
      </c>
      <c r="B285" s="46"/>
      <c r="C285" s="71" t="s">
        <v>23</v>
      </c>
      <c r="D285" s="71"/>
      <c r="E285" s="28">
        <f>345000</f>
        <v>345000</v>
      </c>
      <c r="F285" s="75"/>
      <c r="G285" s="76"/>
      <c r="H285" s="76"/>
      <c r="I285" s="77"/>
    </row>
    <row r="286" spans="1:9" ht="33" customHeight="1" x14ac:dyDescent="0.3">
      <c r="A286" s="11">
        <v>451200000</v>
      </c>
      <c r="B286" s="46"/>
      <c r="C286" s="71" t="s">
        <v>40</v>
      </c>
      <c r="D286" s="71"/>
      <c r="E286" s="28">
        <f>100000+7500</f>
        <v>107500</v>
      </c>
      <c r="F286" s="75"/>
      <c r="G286" s="76"/>
      <c r="H286" s="76"/>
      <c r="I286" s="77"/>
    </row>
    <row r="287" spans="1:9" ht="33" customHeight="1" x14ac:dyDescent="0.3">
      <c r="A287" s="11">
        <v>455800000</v>
      </c>
      <c r="B287" s="46"/>
      <c r="C287" s="71" t="s">
        <v>70</v>
      </c>
      <c r="D287" s="71"/>
      <c r="E287" s="28">
        <f>125862</f>
        <v>125862</v>
      </c>
      <c r="F287" s="75"/>
      <c r="G287" s="76"/>
      <c r="H287" s="76"/>
      <c r="I287" s="77"/>
    </row>
    <row r="288" spans="1:9" ht="33" customHeight="1" x14ac:dyDescent="0.3">
      <c r="A288" s="11">
        <v>453900000</v>
      </c>
      <c r="B288" s="46"/>
      <c r="C288" s="71" t="s">
        <v>72</v>
      </c>
      <c r="D288" s="71"/>
      <c r="E288" s="28">
        <f>185862+10000</f>
        <v>195862</v>
      </c>
      <c r="F288" s="75"/>
      <c r="G288" s="76"/>
      <c r="H288" s="76"/>
      <c r="I288" s="77"/>
    </row>
    <row r="289" spans="1:9" ht="33" customHeight="1" x14ac:dyDescent="0.3">
      <c r="A289" s="11">
        <v>454300000</v>
      </c>
      <c r="B289" s="46"/>
      <c r="C289" s="71" t="s">
        <v>59</v>
      </c>
      <c r="D289" s="71"/>
      <c r="E289" s="28">
        <f>355000+32155</f>
        <v>387155</v>
      </c>
      <c r="F289" s="75"/>
      <c r="G289" s="76"/>
      <c r="H289" s="76"/>
      <c r="I289" s="77"/>
    </row>
    <row r="290" spans="1:9" ht="33" customHeight="1" x14ac:dyDescent="0.3">
      <c r="A290" s="11">
        <v>458600000</v>
      </c>
      <c r="B290" s="46"/>
      <c r="C290" s="71" t="s">
        <v>26</v>
      </c>
      <c r="D290" s="71"/>
      <c r="E290" s="28">
        <f>781724</f>
        <v>781724</v>
      </c>
      <c r="F290" s="75"/>
      <c r="G290" s="76"/>
      <c r="H290" s="76"/>
      <c r="I290" s="77"/>
    </row>
    <row r="291" spans="1:9" ht="33" customHeight="1" x14ac:dyDescent="0.3">
      <c r="A291" s="11">
        <v>456800000</v>
      </c>
      <c r="B291" s="46"/>
      <c r="C291" s="71" t="s">
        <v>12</v>
      </c>
      <c r="D291" s="71"/>
      <c r="E291" s="28">
        <f>260000-75000+25000</f>
        <v>210000</v>
      </c>
      <c r="F291" s="75"/>
      <c r="G291" s="76"/>
      <c r="H291" s="76"/>
      <c r="I291" s="77"/>
    </row>
    <row r="292" spans="1:9" ht="33" customHeight="1" x14ac:dyDescent="0.3">
      <c r="A292" s="11">
        <v>455900000</v>
      </c>
      <c r="B292" s="46"/>
      <c r="C292" s="71" t="s">
        <v>71</v>
      </c>
      <c r="D292" s="71"/>
      <c r="E292" s="28">
        <f>775862+302155</f>
        <v>1078017</v>
      </c>
      <c r="F292" s="75"/>
      <c r="G292" s="76"/>
      <c r="H292" s="76"/>
      <c r="I292" s="77"/>
    </row>
    <row r="293" spans="1:9" ht="33" customHeight="1" x14ac:dyDescent="0.3">
      <c r="A293" s="11">
        <v>452300000</v>
      </c>
      <c r="B293" s="46"/>
      <c r="C293" s="71" t="s">
        <v>47</v>
      </c>
      <c r="D293" s="71"/>
      <c r="E293" s="28">
        <f>280000</f>
        <v>280000</v>
      </c>
      <c r="F293" s="75"/>
      <c r="G293" s="76"/>
      <c r="H293" s="76"/>
      <c r="I293" s="77"/>
    </row>
    <row r="294" spans="1:9" ht="33" customHeight="1" x14ac:dyDescent="0.3">
      <c r="A294" s="11">
        <v>458700000</v>
      </c>
      <c r="B294" s="46"/>
      <c r="C294" s="71" t="s">
        <v>27</v>
      </c>
      <c r="D294" s="71"/>
      <c r="E294" s="28">
        <f>545862+362155</f>
        <v>908017</v>
      </c>
      <c r="F294" s="75"/>
      <c r="G294" s="76"/>
      <c r="H294" s="76"/>
      <c r="I294" s="77"/>
    </row>
    <row r="295" spans="1:9" ht="33" customHeight="1" x14ac:dyDescent="0.3">
      <c r="A295" s="11">
        <v>458800000</v>
      </c>
      <c r="B295" s="46"/>
      <c r="C295" s="71" t="s">
        <v>28</v>
      </c>
      <c r="D295" s="71"/>
      <c r="E295" s="28">
        <f>130000+55000-5000</f>
        <v>180000</v>
      </c>
      <c r="F295" s="75"/>
      <c r="G295" s="76"/>
      <c r="H295" s="76"/>
      <c r="I295" s="77"/>
    </row>
    <row r="296" spans="1:9" ht="33" customHeight="1" x14ac:dyDescent="0.3">
      <c r="A296" s="11">
        <v>454600000</v>
      </c>
      <c r="B296" s="46"/>
      <c r="C296" s="71" t="s">
        <v>60</v>
      </c>
      <c r="D296" s="71"/>
      <c r="E296" s="28">
        <f>50000</f>
        <v>50000</v>
      </c>
      <c r="F296" s="75"/>
      <c r="G296" s="76"/>
      <c r="H296" s="76"/>
      <c r="I296" s="77"/>
    </row>
    <row r="297" spans="1:9" ht="33" customHeight="1" x14ac:dyDescent="0.3">
      <c r="A297" s="11">
        <v>452400000</v>
      </c>
      <c r="B297" s="46"/>
      <c r="C297" s="71" t="s">
        <v>48</v>
      </c>
      <c r="D297" s="71"/>
      <c r="E297" s="28">
        <f>20000</f>
        <v>20000</v>
      </c>
      <c r="F297" s="75"/>
      <c r="G297" s="76"/>
      <c r="H297" s="76"/>
      <c r="I297" s="77"/>
    </row>
    <row r="298" spans="1:9" ht="33" customHeight="1" x14ac:dyDescent="0.3">
      <c r="A298" s="11">
        <v>455500000</v>
      </c>
      <c r="B298" s="46"/>
      <c r="C298" s="71" t="s">
        <v>67</v>
      </c>
      <c r="D298" s="71"/>
      <c r="E298" s="28">
        <f>80000-40000</f>
        <v>40000</v>
      </c>
      <c r="F298" s="75"/>
      <c r="G298" s="76"/>
      <c r="H298" s="76"/>
      <c r="I298" s="77"/>
    </row>
    <row r="299" spans="1:9" ht="33" customHeight="1" x14ac:dyDescent="0.3">
      <c r="A299" s="11">
        <v>454800000</v>
      </c>
      <c r="B299" s="46"/>
      <c r="C299" s="71" t="s">
        <v>272</v>
      </c>
      <c r="D299" s="71"/>
      <c r="E299" s="28">
        <f>20000+10000</f>
        <v>30000</v>
      </c>
      <c r="F299" s="75"/>
      <c r="G299" s="76"/>
      <c r="H299" s="76"/>
      <c r="I299" s="77"/>
    </row>
    <row r="300" spans="1:9" ht="33" customHeight="1" x14ac:dyDescent="0.3">
      <c r="A300" s="11">
        <v>451500000</v>
      </c>
      <c r="B300" s="46"/>
      <c r="C300" s="71" t="s">
        <v>42</v>
      </c>
      <c r="D300" s="71"/>
      <c r="E300" s="28">
        <f>50000+50000+1028045</f>
        <v>1128045</v>
      </c>
      <c r="F300" s="75"/>
      <c r="G300" s="76"/>
      <c r="H300" s="76"/>
      <c r="I300" s="77"/>
    </row>
    <row r="301" spans="1:9" s="2" customFormat="1" ht="33" customHeight="1" x14ac:dyDescent="0.3">
      <c r="A301" s="11">
        <v>459000000</v>
      </c>
      <c r="B301" s="46"/>
      <c r="C301" s="71" t="s">
        <v>110</v>
      </c>
      <c r="D301" s="71"/>
      <c r="E301" s="28">
        <f>70000+20000</f>
        <v>90000</v>
      </c>
      <c r="F301" s="75"/>
      <c r="G301" s="76"/>
      <c r="H301" s="76"/>
      <c r="I301" s="77"/>
    </row>
    <row r="302" spans="1:9" s="2" customFormat="1" ht="33" customHeight="1" x14ac:dyDescent="0.3">
      <c r="A302" s="11">
        <v>451300000</v>
      </c>
      <c r="B302" s="46"/>
      <c r="C302" s="71" t="s">
        <v>41</v>
      </c>
      <c r="D302" s="71"/>
      <c r="E302" s="28">
        <f>55000+92000</f>
        <v>147000</v>
      </c>
      <c r="F302" s="75"/>
      <c r="G302" s="76"/>
      <c r="H302" s="76"/>
      <c r="I302" s="77"/>
    </row>
    <row r="303" spans="1:9" s="2" customFormat="1" ht="33" customHeight="1" x14ac:dyDescent="0.3">
      <c r="A303" s="11">
        <v>452500000</v>
      </c>
      <c r="B303" s="46"/>
      <c r="C303" s="71" t="s">
        <v>49</v>
      </c>
      <c r="D303" s="71"/>
      <c r="E303" s="28">
        <f>80000-57000</f>
        <v>23000</v>
      </c>
      <c r="F303" s="75"/>
      <c r="G303" s="76"/>
      <c r="H303" s="76"/>
      <c r="I303" s="77"/>
    </row>
    <row r="304" spans="1:9" s="2" customFormat="1" ht="33" customHeight="1" x14ac:dyDescent="0.3">
      <c r="A304" s="11" t="s">
        <v>231</v>
      </c>
      <c r="B304" s="46"/>
      <c r="C304" s="71" t="s">
        <v>232</v>
      </c>
      <c r="D304" s="71"/>
      <c r="E304" s="28">
        <f>160862+152155</f>
        <v>313017</v>
      </c>
      <c r="F304" s="75"/>
      <c r="G304" s="76"/>
      <c r="H304" s="76"/>
      <c r="I304" s="77"/>
    </row>
    <row r="305" spans="1:9" s="2" customFormat="1" ht="33" customHeight="1" x14ac:dyDescent="0.3">
      <c r="A305" s="11">
        <v>452600000</v>
      </c>
      <c r="B305" s="46"/>
      <c r="C305" s="71" t="s">
        <v>50</v>
      </c>
      <c r="D305" s="71"/>
      <c r="E305" s="28">
        <f>329862-50000+152155</f>
        <v>432017</v>
      </c>
      <c r="F305" s="75"/>
      <c r="G305" s="76"/>
      <c r="H305" s="76"/>
      <c r="I305" s="77"/>
    </row>
    <row r="306" spans="1:9" s="2" customFormat="1" ht="33" customHeight="1" x14ac:dyDescent="0.3">
      <c r="A306" s="11">
        <v>454200000</v>
      </c>
      <c r="B306" s="46"/>
      <c r="C306" s="71" t="s">
        <v>58</v>
      </c>
      <c r="D306" s="71"/>
      <c r="E306" s="28">
        <f>45000+25000</f>
        <v>70000</v>
      </c>
      <c r="F306" s="75"/>
      <c r="G306" s="76"/>
      <c r="H306" s="76"/>
      <c r="I306" s="77"/>
    </row>
    <row r="307" spans="1:9" s="2" customFormat="1" ht="33" customHeight="1" x14ac:dyDescent="0.3">
      <c r="A307" s="11">
        <v>455400000</v>
      </c>
      <c r="B307" s="46"/>
      <c r="C307" s="71" t="s">
        <v>66</v>
      </c>
      <c r="D307" s="71"/>
      <c r="E307" s="28">
        <f>80000+20000</f>
        <v>100000</v>
      </c>
      <c r="F307" s="75"/>
      <c r="G307" s="76"/>
      <c r="H307" s="76"/>
      <c r="I307" s="77"/>
    </row>
    <row r="308" spans="1:9" s="2" customFormat="1" ht="33" customHeight="1" x14ac:dyDescent="0.3">
      <c r="A308" s="11">
        <v>452700000</v>
      </c>
      <c r="B308" s="46"/>
      <c r="C308" s="71" t="s">
        <v>51</v>
      </c>
      <c r="D308" s="71"/>
      <c r="E308" s="28">
        <f>951724+386465-52155</f>
        <v>1286034</v>
      </c>
      <c r="F308" s="75"/>
      <c r="G308" s="76"/>
      <c r="H308" s="76"/>
      <c r="I308" s="77"/>
    </row>
    <row r="309" spans="1:9" s="2" customFormat="1" ht="33" customHeight="1" x14ac:dyDescent="0.3">
      <c r="A309" s="11">
        <v>454000000</v>
      </c>
      <c r="B309" s="46"/>
      <c r="C309" s="71" t="s">
        <v>57</v>
      </c>
      <c r="D309" s="71"/>
      <c r="E309" s="28">
        <f>300000</f>
        <v>300000</v>
      </c>
      <c r="F309" s="75"/>
      <c r="G309" s="76"/>
      <c r="H309" s="76"/>
      <c r="I309" s="77"/>
    </row>
    <row r="310" spans="1:9" s="2" customFormat="1" ht="33" customHeight="1" x14ac:dyDescent="0.3">
      <c r="A310" s="11" t="s">
        <v>237</v>
      </c>
      <c r="B310" s="46"/>
      <c r="C310" s="71" t="s">
        <v>238</v>
      </c>
      <c r="D310" s="71"/>
      <c r="E310" s="26">
        <f>25862+50000</f>
        <v>75862</v>
      </c>
      <c r="F310" s="82"/>
      <c r="G310" s="82"/>
      <c r="H310" s="82"/>
      <c r="I310" s="82"/>
    </row>
    <row r="311" spans="1:9" s="2" customFormat="1" ht="33" customHeight="1" x14ac:dyDescent="0.3">
      <c r="A311" s="11">
        <v>455100000</v>
      </c>
      <c r="B311" s="46"/>
      <c r="C311" s="71" t="s">
        <v>63</v>
      </c>
      <c r="D311" s="71"/>
      <c r="E311" s="28">
        <f>275000+25000</f>
        <v>300000</v>
      </c>
      <c r="F311" s="75"/>
      <c r="G311" s="76"/>
      <c r="H311" s="76"/>
      <c r="I311" s="77"/>
    </row>
    <row r="312" spans="1:9" s="2" customFormat="1" ht="33" customHeight="1" x14ac:dyDescent="0.3">
      <c r="A312" s="11">
        <v>455200000</v>
      </c>
      <c r="B312" s="46"/>
      <c r="C312" s="71" t="s">
        <v>64</v>
      </c>
      <c r="D312" s="71"/>
      <c r="E312" s="28">
        <f>1316724-200000+267155</f>
        <v>1383879</v>
      </c>
      <c r="F312" s="75"/>
      <c r="G312" s="76"/>
      <c r="H312" s="76"/>
      <c r="I312" s="77"/>
    </row>
    <row r="313" spans="1:9" s="4" customFormat="1" ht="33" customHeight="1" x14ac:dyDescent="0.3">
      <c r="A313" s="83"/>
      <c r="B313" s="83"/>
      <c r="C313" s="85" t="s">
        <v>140</v>
      </c>
      <c r="D313" s="85"/>
      <c r="E313" s="24"/>
      <c r="F313" s="84"/>
      <c r="G313" s="84"/>
      <c r="H313" s="84"/>
      <c r="I313" s="84"/>
    </row>
    <row r="314" spans="1:9" s="6" customFormat="1" ht="64.5" customHeight="1" x14ac:dyDescent="0.3">
      <c r="A314" s="17" t="s">
        <v>106</v>
      </c>
      <c r="B314" s="18">
        <v>9770</v>
      </c>
      <c r="C314" s="86" t="s">
        <v>117</v>
      </c>
      <c r="D314" s="86"/>
      <c r="E314" s="25">
        <f>SUM(E315:E321)</f>
        <v>3500000</v>
      </c>
      <c r="F314" s="98" t="s">
        <v>318</v>
      </c>
      <c r="G314" s="99"/>
      <c r="H314" s="99"/>
      <c r="I314" s="100"/>
    </row>
    <row r="315" spans="1:9" ht="33" customHeight="1" x14ac:dyDescent="0.3">
      <c r="A315" s="11" t="s">
        <v>124</v>
      </c>
      <c r="B315" s="46"/>
      <c r="C315" s="71" t="s">
        <v>118</v>
      </c>
      <c r="D315" s="71"/>
      <c r="E315" s="28">
        <f>F315</f>
        <v>500000</v>
      </c>
      <c r="F315" s="79">
        <f t="shared" ref="F315:F321" si="12">500000</f>
        <v>500000</v>
      </c>
      <c r="G315" s="80"/>
      <c r="H315" s="80"/>
      <c r="I315" s="81"/>
    </row>
    <row r="316" spans="1:9" ht="33" customHeight="1" x14ac:dyDescent="0.3">
      <c r="A316" s="11" t="s">
        <v>130</v>
      </c>
      <c r="B316" s="46"/>
      <c r="C316" s="71" t="s">
        <v>123</v>
      </c>
      <c r="D316" s="71"/>
      <c r="E316" s="28">
        <f t="shared" ref="E316:E321" si="13">F316</f>
        <v>500000</v>
      </c>
      <c r="F316" s="79">
        <f t="shared" si="12"/>
        <v>500000</v>
      </c>
      <c r="G316" s="80"/>
      <c r="H316" s="80"/>
      <c r="I316" s="81"/>
    </row>
    <row r="317" spans="1:9" ht="33" customHeight="1" x14ac:dyDescent="0.3">
      <c r="A317" s="11" t="s">
        <v>125</v>
      </c>
      <c r="B317" s="46"/>
      <c r="C317" s="71" t="s">
        <v>119</v>
      </c>
      <c r="D317" s="71"/>
      <c r="E317" s="28">
        <f t="shared" si="13"/>
        <v>500000</v>
      </c>
      <c r="F317" s="79">
        <f t="shared" si="12"/>
        <v>500000</v>
      </c>
      <c r="G317" s="80"/>
      <c r="H317" s="80"/>
      <c r="I317" s="81"/>
    </row>
    <row r="318" spans="1:9" ht="33" customHeight="1" x14ac:dyDescent="0.3">
      <c r="A318" s="11" t="s">
        <v>126</v>
      </c>
      <c r="B318" s="46"/>
      <c r="C318" s="71" t="s">
        <v>120</v>
      </c>
      <c r="D318" s="71"/>
      <c r="E318" s="28">
        <f t="shared" si="13"/>
        <v>500000</v>
      </c>
      <c r="F318" s="79">
        <f t="shared" si="12"/>
        <v>500000</v>
      </c>
      <c r="G318" s="80"/>
      <c r="H318" s="80"/>
      <c r="I318" s="81"/>
    </row>
    <row r="319" spans="1:9" ht="33" customHeight="1" x14ac:dyDescent="0.3">
      <c r="A319" s="11" t="s">
        <v>128</v>
      </c>
      <c r="B319" s="46"/>
      <c r="C319" s="71" t="s">
        <v>121</v>
      </c>
      <c r="D319" s="71"/>
      <c r="E319" s="28">
        <f t="shared" si="13"/>
        <v>500000</v>
      </c>
      <c r="F319" s="79">
        <f t="shared" si="12"/>
        <v>500000</v>
      </c>
      <c r="G319" s="80"/>
      <c r="H319" s="80"/>
      <c r="I319" s="81"/>
    </row>
    <row r="320" spans="1:9" ht="33" customHeight="1" x14ac:dyDescent="0.3">
      <c r="A320" s="11" t="s">
        <v>127</v>
      </c>
      <c r="B320" s="46"/>
      <c r="C320" s="71" t="s">
        <v>145</v>
      </c>
      <c r="D320" s="71"/>
      <c r="E320" s="28">
        <f>F320</f>
        <v>500000</v>
      </c>
      <c r="F320" s="79">
        <f t="shared" si="12"/>
        <v>500000</v>
      </c>
      <c r="G320" s="80"/>
      <c r="H320" s="80"/>
      <c r="I320" s="81"/>
    </row>
    <row r="321" spans="1:9" ht="33" customHeight="1" x14ac:dyDescent="0.3">
      <c r="A321" s="11" t="s">
        <v>129</v>
      </c>
      <c r="B321" s="46"/>
      <c r="C321" s="71" t="s">
        <v>122</v>
      </c>
      <c r="D321" s="71"/>
      <c r="E321" s="28">
        <f t="shared" si="13"/>
        <v>500000</v>
      </c>
      <c r="F321" s="79">
        <f t="shared" si="12"/>
        <v>500000</v>
      </c>
      <c r="G321" s="80"/>
      <c r="H321" s="80"/>
      <c r="I321" s="81"/>
    </row>
    <row r="322" spans="1:9" s="4" customFormat="1" ht="39.75" customHeight="1" x14ac:dyDescent="0.3">
      <c r="A322" s="69"/>
      <c r="B322" s="69"/>
      <c r="C322" s="70" t="s">
        <v>141</v>
      </c>
      <c r="D322" s="70"/>
      <c r="E322" s="24"/>
      <c r="F322" s="84"/>
      <c r="G322" s="84"/>
      <c r="H322" s="84"/>
      <c r="I322" s="84"/>
    </row>
    <row r="323" spans="1:9" ht="58.5" customHeight="1" x14ac:dyDescent="0.3">
      <c r="A323" s="43" t="s">
        <v>82</v>
      </c>
      <c r="B323" s="18">
        <v>9770</v>
      </c>
      <c r="C323" s="93" t="s">
        <v>109</v>
      </c>
      <c r="D323" s="94"/>
      <c r="E323" s="27">
        <f>SUM(E324:E397)</f>
        <v>4968960</v>
      </c>
      <c r="F323" s="75"/>
      <c r="G323" s="76"/>
      <c r="H323" s="76"/>
      <c r="I323" s="77"/>
    </row>
    <row r="324" spans="1:9" ht="33" customHeight="1" x14ac:dyDescent="0.3">
      <c r="A324" s="11">
        <v>457400000</v>
      </c>
      <c r="B324" s="46"/>
      <c r="C324" s="72" t="s">
        <v>15</v>
      </c>
      <c r="D324" s="73"/>
      <c r="E324" s="28">
        <f>17140+4160</f>
        <v>21300</v>
      </c>
      <c r="F324" s="75"/>
      <c r="G324" s="76"/>
      <c r="H324" s="76"/>
      <c r="I324" s="77"/>
    </row>
    <row r="325" spans="1:9" ht="33" customHeight="1" x14ac:dyDescent="0.3">
      <c r="A325" s="11">
        <v>457600000</v>
      </c>
      <c r="B325" s="46"/>
      <c r="C325" s="71" t="s">
        <v>17</v>
      </c>
      <c r="D325" s="71"/>
      <c r="E325" s="28">
        <f>1608970+388640+14910</f>
        <v>2012520</v>
      </c>
      <c r="F325" s="75"/>
      <c r="G325" s="76"/>
      <c r="H325" s="76"/>
      <c r="I325" s="77"/>
    </row>
    <row r="326" spans="1:9" ht="33" customHeight="1" x14ac:dyDescent="0.3">
      <c r="A326" s="11">
        <v>457700000</v>
      </c>
      <c r="B326" s="46"/>
      <c r="C326" s="71" t="s">
        <v>18</v>
      </c>
      <c r="D326" s="71"/>
      <c r="E326" s="28">
        <f>73702+17888+17040</f>
        <v>108630</v>
      </c>
      <c r="F326" s="75"/>
      <c r="G326" s="76"/>
      <c r="H326" s="76"/>
      <c r="I326" s="77"/>
    </row>
    <row r="327" spans="1:9" ht="33" customHeight="1" x14ac:dyDescent="0.3">
      <c r="A327" s="11">
        <v>457100000</v>
      </c>
      <c r="B327" s="46"/>
      <c r="C327" s="71" t="s">
        <v>111</v>
      </c>
      <c r="D327" s="71"/>
      <c r="E327" s="28">
        <f>269098+65312</f>
        <v>334410</v>
      </c>
      <c r="F327" s="75"/>
      <c r="G327" s="76"/>
      <c r="H327" s="76"/>
      <c r="I327" s="77"/>
    </row>
    <row r="328" spans="1:9" ht="33" customHeight="1" x14ac:dyDescent="0.3">
      <c r="A328" s="11">
        <v>457810000</v>
      </c>
      <c r="B328" s="46"/>
      <c r="C328" s="71" t="s">
        <v>19</v>
      </c>
      <c r="D328" s="71"/>
      <c r="E328" s="28">
        <f>630752+153088</f>
        <v>783840</v>
      </c>
      <c r="F328" s="75"/>
      <c r="G328" s="76"/>
      <c r="H328" s="76"/>
      <c r="I328" s="77"/>
    </row>
    <row r="329" spans="1:9" ht="33" customHeight="1" x14ac:dyDescent="0.3">
      <c r="A329" s="11">
        <v>456100000</v>
      </c>
      <c r="B329" s="46"/>
      <c r="C329" s="71" t="s">
        <v>31</v>
      </c>
      <c r="D329" s="71"/>
      <c r="E329" s="28">
        <f>35994+8736</f>
        <v>44730</v>
      </c>
      <c r="F329" s="75"/>
      <c r="G329" s="76"/>
      <c r="H329" s="76"/>
      <c r="I329" s="77"/>
    </row>
    <row r="330" spans="1:9" ht="33" customHeight="1" x14ac:dyDescent="0.3">
      <c r="A330" s="11">
        <v>458100000</v>
      </c>
      <c r="B330" s="46"/>
      <c r="C330" s="71" t="s">
        <v>21</v>
      </c>
      <c r="D330" s="71"/>
      <c r="E330" s="28">
        <f>133692+32448</f>
        <v>166140</v>
      </c>
      <c r="F330" s="75"/>
      <c r="G330" s="76"/>
      <c r="H330" s="76"/>
      <c r="I330" s="77"/>
    </row>
    <row r="331" spans="1:9" ht="33" customHeight="1" x14ac:dyDescent="0.3">
      <c r="A331" s="11">
        <v>458200000</v>
      </c>
      <c r="B331" s="46"/>
      <c r="C331" s="71" t="s">
        <v>22</v>
      </c>
      <c r="D331" s="71"/>
      <c r="E331" s="28">
        <f>99412+24128</f>
        <v>123540</v>
      </c>
      <c r="F331" s="75"/>
      <c r="G331" s="76"/>
      <c r="H331" s="76"/>
      <c r="I331" s="77"/>
    </row>
    <row r="332" spans="1:9" ht="33" customHeight="1" x14ac:dyDescent="0.3">
      <c r="A332" s="11">
        <v>458400000</v>
      </c>
      <c r="B332" s="46"/>
      <c r="C332" s="71" t="s">
        <v>24</v>
      </c>
      <c r="D332" s="71"/>
      <c r="E332" s="28">
        <f>135406+32864</f>
        <v>168270</v>
      </c>
      <c r="F332" s="75"/>
      <c r="G332" s="76"/>
      <c r="H332" s="76"/>
      <c r="I332" s="77"/>
    </row>
    <row r="333" spans="1:9" ht="33" customHeight="1" x14ac:dyDescent="0.3">
      <c r="A333" s="11">
        <v>458500000</v>
      </c>
      <c r="B333" s="46"/>
      <c r="C333" s="71" t="s">
        <v>25</v>
      </c>
      <c r="D333" s="71"/>
      <c r="E333" s="28">
        <f>34280+8320</f>
        <v>42600</v>
      </c>
      <c r="F333" s="75"/>
      <c r="G333" s="76"/>
      <c r="H333" s="76"/>
      <c r="I333" s="77"/>
    </row>
    <row r="334" spans="1:9" ht="33" customHeight="1" x14ac:dyDescent="0.3">
      <c r="A334" s="11">
        <v>456200000</v>
      </c>
      <c r="B334" s="46"/>
      <c r="C334" s="71" t="s">
        <v>32</v>
      </c>
      <c r="D334" s="71"/>
      <c r="E334" s="28">
        <f>58276+14144</f>
        <v>72420</v>
      </c>
      <c r="F334" s="75"/>
      <c r="G334" s="76"/>
      <c r="H334" s="76"/>
      <c r="I334" s="77"/>
    </row>
    <row r="335" spans="1:9" ht="33" customHeight="1" x14ac:dyDescent="0.3">
      <c r="A335" s="11">
        <v>458900000</v>
      </c>
      <c r="B335" s="46"/>
      <c r="C335" s="71" t="s">
        <v>29</v>
      </c>
      <c r="D335" s="71"/>
      <c r="E335" s="28">
        <f>39422+9568</f>
        <v>48990</v>
      </c>
      <c r="F335" s="75"/>
      <c r="G335" s="76"/>
      <c r="H335" s="76"/>
      <c r="I335" s="77"/>
    </row>
    <row r="336" spans="1:9" ht="33" customHeight="1" x14ac:dyDescent="0.3">
      <c r="A336" s="11">
        <v>459100000</v>
      </c>
      <c r="B336" s="46"/>
      <c r="C336" s="71" t="s">
        <v>30</v>
      </c>
      <c r="D336" s="71"/>
      <c r="E336" s="28">
        <f>27424+6656</f>
        <v>34080</v>
      </c>
      <c r="F336" s="75"/>
      <c r="G336" s="76"/>
      <c r="H336" s="76"/>
      <c r="I336" s="77"/>
    </row>
    <row r="337" spans="1:9" ht="33" customHeight="1" x14ac:dyDescent="0.3">
      <c r="A337" s="11">
        <v>450100000</v>
      </c>
      <c r="B337" s="46"/>
      <c r="C337" s="71" t="s">
        <v>33</v>
      </c>
      <c r="D337" s="71"/>
      <c r="E337" s="28">
        <f>34280+8320</f>
        <v>42600</v>
      </c>
      <c r="F337" s="75"/>
      <c r="G337" s="76"/>
      <c r="H337" s="76"/>
      <c r="I337" s="77"/>
    </row>
    <row r="338" spans="1:9" ht="33" customHeight="1" x14ac:dyDescent="0.3">
      <c r="A338" s="11">
        <v>450200000</v>
      </c>
      <c r="B338" s="46"/>
      <c r="C338" s="71" t="s">
        <v>34</v>
      </c>
      <c r="D338" s="71"/>
      <c r="E338" s="28">
        <f>6856+1664</f>
        <v>8520</v>
      </c>
      <c r="F338" s="75"/>
      <c r="G338" s="76"/>
      <c r="H338" s="76"/>
      <c r="I338" s="77"/>
    </row>
    <row r="339" spans="1:9" ht="33" customHeight="1" x14ac:dyDescent="0.3">
      <c r="A339" s="11">
        <v>451800000</v>
      </c>
      <c r="B339" s="46"/>
      <c r="C339" s="71" t="s">
        <v>35</v>
      </c>
      <c r="D339" s="71"/>
      <c r="E339" s="28">
        <f>11998+2912</f>
        <v>14910</v>
      </c>
      <c r="F339" s="75"/>
      <c r="G339" s="76"/>
      <c r="H339" s="76"/>
      <c r="I339" s="77"/>
    </row>
    <row r="340" spans="1:9" ht="33" customHeight="1" x14ac:dyDescent="0.3">
      <c r="A340" s="11">
        <v>457200000</v>
      </c>
      <c r="B340" s="46"/>
      <c r="C340" s="72" t="s">
        <v>14</v>
      </c>
      <c r="D340" s="73"/>
      <c r="E340" s="28">
        <f>8570+2080</f>
        <v>10650</v>
      </c>
      <c r="F340" s="75"/>
      <c r="G340" s="76"/>
      <c r="H340" s="76"/>
      <c r="I340" s="77"/>
    </row>
    <row r="341" spans="1:9" ht="33" customHeight="1" x14ac:dyDescent="0.3">
      <c r="A341" s="11">
        <v>451900000</v>
      </c>
      <c r="B341" s="46"/>
      <c r="C341" s="71" t="s">
        <v>44</v>
      </c>
      <c r="D341" s="71"/>
      <c r="E341" s="28">
        <f>58276+14144</f>
        <v>72420</v>
      </c>
      <c r="F341" s="75"/>
      <c r="G341" s="76"/>
      <c r="H341" s="76"/>
      <c r="I341" s="77"/>
    </row>
    <row r="342" spans="1:9" ht="33" customHeight="1" x14ac:dyDescent="0.3">
      <c r="A342" s="11">
        <v>452900000</v>
      </c>
      <c r="B342" s="46"/>
      <c r="C342" s="71" t="s">
        <v>52</v>
      </c>
      <c r="D342" s="71"/>
      <c r="E342" s="28">
        <f>5142+1248</f>
        <v>6390</v>
      </c>
      <c r="F342" s="75"/>
      <c r="G342" s="76"/>
      <c r="H342" s="76"/>
      <c r="I342" s="77"/>
    </row>
    <row r="343" spans="1:9" ht="33" customHeight="1" x14ac:dyDescent="0.3">
      <c r="A343" s="11">
        <v>450300000</v>
      </c>
      <c r="B343" s="46"/>
      <c r="C343" s="71" t="s">
        <v>36</v>
      </c>
      <c r="D343" s="71"/>
      <c r="E343" s="28">
        <f>10284+2496</f>
        <v>12780</v>
      </c>
      <c r="F343" s="75"/>
      <c r="G343" s="76"/>
      <c r="H343" s="76"/>
      <c r="I343" s="77"/>
    </row>
    <row r="344" spans="1:9" ht="33" customHeight="1" x14ac:dyDescent="0.3">
      <c r="A344" s="11">
        <v>457300000</v>
      </c>
      <c r="B344" s="46"/>
      <c r="C344" s="71" t="s">
        <v>101</v>
      </c>
      <c r="D344" s="71"/>
      <c r="E344" s="28">
        <f>1714+416</f>
        <v>2130</v>
      </c>
      <c r="F344" s="75"/>
      <c r="G344" s="76"/>
      <c r="H344" s="76"/>
      <c r="I344" s="77"/>
    </row>
    <row r="345" spans="1:9" ht="33" customHeight="1" x14ac:dyDescent="0.3">
      <c r="A345" s="11">
        <v>453600000</v>
      </c>
      <c r="B345" s="46"/>
      <c r="C345" s="71" t="s">
        <v>55</v>
      </c>
      <c r="D345" s="71"/>
      <c r="E345" s="28">
        <f>56562+13728</f>
        <v>70290</v>
      </c>
      <c r="F345" s="75"/>
      <c r="G345" s="76"/>
      <c r="H345" s="76"/>
      <c r="I345" s="77"/>
    </row>
    <row r="346" spans="1:9" ht="33" customHeight="1" x14ac:dyDescent="0.3">
      <c r="A346" s="11">
        <v>452000000</v>
      </c>
      <c r="B346" s="46"/>
      <c r="C346" s="71" t="s">
        <v>45</v>
      </c>
      <c r="D346" s="71"/>
      <c r="E346" s="28">
        <f>3428+832</f>
        <v>4260</v>
      </c>
      <c r="F346" s="75"/>
      <c r="G346" s="76"/>
      <c r="H346" s="76"/>
      <c r="I346" s="77"/>
    </row>
    <row r="347" spans="1:9" ht="33" customHeight="1" x14ac:dyDescent="0.3">
      <c r="A347" s="11">
        <v>456300000</v>
      </c>
      <c r="B347" s="46"/>
      <c r="C347" s="71" t="s">
        <v>7</v>
      </c>
      <c r="D347" s="71"/>
      <c r="E347" s="28">
        <f>3428+832-2508</f>
        <v>1752</v>
      </c>
      <c r="F347" s="75"/>
      <c r="G347" s="76"/>
      <c r="H347" s="76"/>
      <c r="I347" s="77"/>
    </row>
    <row r="348" spans="1:9" ht="33" customHeight="1" x14ac:dyDescent="0.3">
      <c r="A348" s="11">
        <v>453000000</v>
      </c>
      <c r="B348" s="46"/>
      <c r="C348" s="71" t="s">
        <v>53</v>
      </c>
      <c r="D348" s="71"/>
      <c r="E348" s="28">
        <f>5142+1248</f>
        <v>6390</v>
      </c>
      <c r="F348" s="75"/>
      <c r="G348" s="76"/>
      <c r="H348" s="76"/>
      <c r="I348" s="77"/>
    </row>
    <row r="349" spans="1:9" ht="33" customHeight="1" x14ac:dyDescent="0.3">
      <c r="A349" s="11">
        <v>450700000</v>
      </c>
      <c r="B349" s="46"/>
      <c r="C349" s="71" t="s">
        <v>38</v>
      </c>
      <c r="D349" s="71"/>
      <c r="E349" s="28">
        <f>11998+2912</f>
        <v>14910</v>
      </c>
      <c r="F349" s="75"/>
      <c r="G349" s="76"/>
      <c r="H349" s="76"/>
      <c r="I349" s="77"/>
    </row>
    <row r="350" spans="1:9" ht="33" customHeight="1" x14ac:dyDescent="0.3">
      <c r="A350" s="11">
        <v>457500000</v>
      </c>
      <c r="B350" s="46"/>
      <c r="C350" s="71" t="s">
        <v>16</v>
      </c>
      <c r="D350" s="71"/>
      <c r="E350" s="28">
        <f>23996+5824</f>
        <v>29820</v>
      </c>
      <c r="F350" s="75"/>
      <c r="G350" s="76"/>
      <c r="H350" s="76"/>
      <c r="I350" s="77"/>
    </row>
    <row r="351" spans="1:9" ht="33" customHeight="1" x14ac:dyDescent="0.3">
      <c r="A351" s="11">
        <v>455600000</v>
      </c>
      <c r="B351" s="46"/>
      <c r="C351" s="71" t="s">
        <v>68</v>
      </c>
      <c r="D351" s="71"/>
      <c r="E351" s="28">
        <f>5142+1248</f>
        <v>6390</v>
      </c>
      <c r="F351" s="75"/>
      <c r="G351" s="76"/>
      <c r="H351" s="76"/>
      <c r="I351" s="77"/>
    </row>
    <row r="352" spans="1:9" ht="33" customHeight="1" x14ac:dyDescent="0.3">
      <c r="A352" s="11">
        <v>453500000</v>
      </c>
      <c r="B352" s="46"/>
      <c r="C352" s="71" t="s">
        <v>6</v>
      </c>
      <c r="D352" s="71"/>
      <c r="E352" s="28">
        <f>13712+3328</f>
        <v>17040</v>
      </c>
      <c r="F352" s="75"/>
      <c r="G352" s="76"/>
      <c r="H352" s="76"/>
      <c r="I352" s="77"/>
    </row>
    <row r="353" spans="1:9" ht="33" customHeight="1" x14ac:dyDescent="0.3">
      <c r="A353" s="11">
        <v>456400000</v>
      </c>
      <c r="B353" s="46"/>
      <c r="C353" s="71" t="s">
        <v>8</v>
      </c>
      <c r="D353" s="71"/>
      <c r="E353" s="28">
        <f>1714+416</f>
        <v>2130</v>
      </c>
      <c r="F353" s="75"/>
      <c r="G353" s="76"/>
      <c r="H353" s="76"/>
      <c r="I353" s="77"/>
    </row>
    <row r="354" spans="1:9" ht="33" customHeight="1" x14ac:dyDescent="0.3">
      <c r="A354" s="11">
        <v>450600000</v>
      </c>
      <c r="B354" s="46"/>
      <c r="C354" s="71" t="s">
        <v>37</v>
      </c>
      <c r="D354" s="71"/>
      <c r="E354" s="28">
        <f>8570+2080</f>
        <v>10650</v>
      </c>
      <c r="F354" s="75"/>
      <c r="G354" s="76"/>
      <c r="H354" s="76"/>
      <c r="I354" s="77"/>
    </row>
    <row r="355" spans="1:9" ht="33" customHeight="1" x14ac:dyDescent="0.3">
      <c r="A355" s="11">
        <v>454700000</v>
      </c>
      <c r="B355" s="46"/>
      <c r="C355" s="71" t="s">
        <v>61</v>
      </c>
      <c r="D355" s="71"/>
      <c r="E355" s="28">
        <f>10284+2496</f>
        <v>12780</v>
      </c>
      <c r="F355" s="75"/>
      <c r="G355" s="76"/>
      <c r="H355" s="76"/>
      <c r="I355" s="77"/>
    </row>
    <row r="356" spans="1:9" ht="33" customHeight="1" x14ac:dyDescent="0.3">
      <c r="A356" s="11">
        <v>455000000</v>
      </c>
      <c r="B356" s="46"/>
      <c r="C356" s="71" t="s">
        <v>62</v>
      </c>
      <c r="D356" s="71"/>
      <c r="E356" s="28">
        <f>1714+416</f>
        <v>2130</v>
      </c>
      <c r="F356" s="75"/>
      <c r="G356" s="76"/>
      <c r="H356" s="76"/>
      <c r="I356" s="77"/>
    </row>
    <row r="357" spans="1:9" ht="33" customHeight="1" x14ac:dyDescent="0.3">
      <c r="A357" s="11">
        <v>452100000</v>
      </c>
      <c r="B357" s="46"/>
      <c r="C357" s="71" t="s">
        <v>46</v>
      </c>
      <c r="D357" s="71"/>
      <c r="E357" s="28">
        <f>18854+4576</f>
        <v>23430</v>
      </c>
      <c r="F357" s="75"/>
      <c r="G357" s="76"/>
      <c r="H357" s="76"/>
      <c r="I357" s="77"/>
    </row>
    <row r="358" spans="1:9" ht="33" customHeight="1" x14ac:dyDescent="0.3">
      <c r="A358" s="11">
        <v>455700000</v>
      </c>
      <c r="B358" s="46"/>
      <c r="C358" s="71" t="s">
        <v>69</v>
      </c>
      <c r="D358" s="71"/>
      <c r="E358" s="28">
        <f>8570+2080</f>
        <v>10650</v>
      </c>
      <c r="F358" s="75"/>
      <c r="G358" s="76"/>
      <c r="H358" s="76"/>
      <c r="I358" s="77"/>
    </row>
    <row r="359" spans="1:9" ht="33" customHeight="1" x14ac:dyDescent="0.3">
      <c r="A359" s="11">
        <v>457900000</v>
      </c>
      <c r="B359" s="46"/>
      <c r="C359" s="71" t="s">
        <v>20</v>
      </c>
      <c r="D359" s="71"/>
      <c r="E359" s="28">
        <f>10284+2496</f>
        <v>12780</v>
      </c>
      <c r="F359" s="75"/>
      <c r="G359" s="76"/>
      <c r="H359" s="76"/>
      <c r="I359" s="77"/>
    </row>
    <row r="360" spans="1:9" ht="33" customHeight="1" x14ac:dyDescent="0.3">
      <c r="A360" s="11">
        <v>455300000</v>
      </c>
      <c r="B360" s="46"/>
      <c r="C360" s="71" t="s">
        <v>65</v>
      </c>
      <c r="D360" s="71"/>
      <c r="E360" s="28">
        <f>1714+416</f>
        <v>2130</v>
      </c>
      <c r="F360" s="75"/>
      <c r="G360" s="76"/>
      <c r="H360" s="76"/>
      <c r="I360" s="77"/>
    </row>
    <row r="361" spans="1:9" ht="33" customHeight="1" x14ac:dyDescent="0.3">
      <c r="A361" s="11">
        <v>456500000</v>
      </c>
      <c r="B361" s="46"/>
      <c r="C361" s="71" t="s">
        <v>9</v>
      </c>
      <c r="D361" s="71"/>
      <c r="E361" s="28">
        <f>17140+4160</f>
        <v>21300</v>
      </c>
      <c r="F361" s="75"/>
      <c r="G361" s="76"/>
      <c r="H361" s="76"/>
      <c r="I361" s="77"/>
    </row>
    <row r="362" spans="1:9" ht="33" customHeight="1" x14ac:dyDescent="0.3">
      <c r="A362" s="11">
        <v>453100000</v>
      </c>
      <c r="B362" s="46"/>
      <c r="C362" s="71" t="s">
        <v>54</v>
      </c>
      <c r="D362" s="71"/>
      <c r="E362" s="28">
        <f>1714+416</f>
        <v>2130</v>
      </c>
      <c r="F362" s="75"/>
      <c r="G362" s="76"/>
      <c r="H362" s="76"/>
      <c r="I362" s="77"/>
    </row>
    <row r="363" spans="1:9" ht="33" customHeight="1" x14ac:dyDescent="0.3">
      <c r="A363" s="11">
        <v>454100000</v>
      </c>
      <c r="B363" s="46"/>
      <c r="C363" s="71" t="s">
        <v>73</v>
      </c>
      <c r="D363" s="71"/>
      <c r="E363" s="28">
        <f>3428+832</f>
        <v>4260</v>
      </c>
      <c r="F363" s="75"/>
      <c r="G363" s="76"/>
      <c r="H363" s="76"/>
      <c r="I363" s="77"/>
    </row>
    <row r="364" spans="1:9" ht="33" customHeight="1" x14ac:dyDescent="0.3">
      <c r="A364" s="11">
        <v>453700000</v>
      </c>
      <c r="B364" s="46"/>
      <c r="C364" s="71" t="s">
        <v>56</v>
      </c>
      <c r="D364" s="71"/>
      <c r="E364" s="28">
        <f>15426+3744-10866</f>
        <v>8304</v>
      </c>
      <c r="F364" s="75"/>
      <c r="G364" s="76"/>
      <c r="H364" s="76"/>
      <c r="I364" s="77"/>
    </row>
    <row r="365" spans="1:9" ht="33" customHeight="1" x14ac:dyDescent="0.3">
      <c r="A365" s="11">
        <v>458000000</v>
      </c>
      <c r="B365" s="46"/>
      <c r="C365" s="71" t="s">
        <v>88</v>
      </c>
      <c r="D365" s="71"/>
      <c r="E365" s="28">
        <f>1714+416</f>
        <v>2130</v>
      </c>
      <c r="F365" s="75"/>
      <c r="G365" s="76"/>
      <c r="H365" s="76"/>
      <c r="I365" s="77"/>
    </row>
    <row r="366" spans="1:9" ht="33" customHeight="1" x14ac:dyDescent="0.3">
      <c r="A366" s="11">
        <v>454400000</v>
      </c>
      <c r="B366" s="46"/>
      <c r="C366" s="71" t="s">
        <v>87</v>
      </c>
      <c r="D366" s="71"/>
      <c r="E366" s="28">
        <f>1714+416</f>
        <v>2130</v>
      </c>
      <c r="F366" s="75"/>
      <c r="G366" s="76"/>
      <c r="H366" s="76"/>
      <c r="I366" s="77"/>
    </row>
    <row r="367" spans="1:9" ht="33" customHeight="1" x14ac:dyDescent="0.3">
      <c r="A367" s="11">
        <v>451600000</v>
      </c>
      <c r="B367" s="46"/>
      <c r="C367" s="71" t="s">
        <v>43</v>
      </c>
      <c r="D367" s="71"/>
      <c r="E367" s="28">
        <f>8570+2080</f>
        <v>10650</v>
      </c>
      <c r="F367" s="75"/>
      <c r="G367" s="76"/>
      <c r="H367" s="76"/>
      <c r="I367" s="77"/>
    </row>
    <row r="368" spans="1:9" ht="33" customHeight="1" x14ac:dyDescent="0.3">
      <c r="A368" s="11">
        <v>450900000</v>
      </c>
      <c r="B368" s="46"/>
      <c r="C368" s="71" t="s">
        <v>39</v>
      </c>
      <c r="D368" s="71"/>
      <c r="E368" s="28">
        <f>8570+2080</f>
        <v>10650</v>
      </c>
      <c r="F368" s="75"/>
      <c r="G368" s="76"/>
      <c r="H368" s="76"/>
      <c r="I368" s="77"/>
    </row>
    <row r="369" spans="1:9" ht="33" customHeight="1" x14ac:dyDescent="0.3">
      <c r="A369" s="11">
        <v>451100000</v>
      </c>
      <c r="B369" s="46"/>
      <c r="C369" s="71" t="s">
        <v>74</v>
      </c>
      <c r="D369" s="71"/>
      <c r="E369" s="28">
        <f>17140+4160</f>
        <v>21300</v>
      </c>
      <c r="F369" s="75"/>
      <c r="G369" s="76"/>
      <c r="H369" s="76"/>
      <c r="I369" s="77"/>
    </row>
    <row r="370" spans="1:9" ht="33" customHeight="1" x14ac:dyDescent="0.3">
      <c r="A370" s="11">
        <v>458300000</v>
      </c>
      <c r="B370" s="46"/>
      <c r="C370" s="71" t="s">
        <v>23</v>
      </c>
      <c r="D370" s="71"/>
      <c r="E370" s="28">
        <f>5142+1248</f>
        <v>6390</v>
      </c>
      <c r="F370" s="75"/>
      <c r="G370" s="76"/>
      <c r="H370" s="76"/>
      <c r="I370" s="77"/>
    </row>
    <row r="371" spans="1:9" ht="33" customHeight="1" x14ac:dyDescent="0.3">
      <c r="A371" s="11">
        <v>451200000</v>
      </c>
      <c r="B371" s="46"/>
      <c r="C371" s="71" t="s">
        <v>40</v>
      </c>
      <c r="D371" s="71"/>
      <c r="E371" s="28">
        <f>6856+1664</f>
        <v>8520</v>
      </c>
      <c r="F371" s="75"/>
      <c r="G371" s="76"/>
      <c r="H371" s="76"/>
      <c r="I371" s="77"/>
    </row>
    <row r="372" spans="1:9" ht="33" customHeight="1" x14ac:dyDescent="0.3">
      <c r="A372" s="11">
        <v>456600000</v>
      </c>
      <c r="B372" s="46"/>
      <c r="C372" s="71" t="s">
        <v>10</v>
      </c>
      <c r="D372" s="71"/>
      <c r="E372" s="28">
        <f>15426+3744</f>
        <v>19170</v>
      </c>
      <c r="F372" s="75"/>
      <c r="G372" s="76"/>
      <c r="H372" s="76"/>
      <c r="I372" s="77"/>
    </row>
    <row r="373" spans="1:9" ht="33" customHeight="1" x14ac:dyDescent="0.3">
      <c r="A373" s="11">
        <v>455800000</v>
      </c>
      <c r="B373" s="46"/>
      <c r="C373" s="71" t="s">
        <v>70</v>
      </c>
      <c r="D373" s="71"/>
      <c r="E373" s="28">
        <f>15426+3744</f>
        <v>19170</v>
      </c>
      <c r="F373" s="75"/>
      <c r="G373" s="76"/>
      <c r="H373" s="76"/>
      <c r="I373" s="77"/>
    </row>
    <row r="374" spans="1:9" ht="33" customHeight="1" x14ac:dyDescent="0.3">
      <c r="A374" s="11">
        <v>453900000</v>
      </c>
      <c r="B374" s="46"/>
      <c r="C374" s="71" t="s">
        <v>72</v>
      </c>
      <c r="D374" s="71"/>
      <c r="E374" s="28">
        <f>1714+416</f>
        <v>2130</v>
      </c>
      <c r="F374" s="75"/>
      <c r="G374" s="76"/>
      <c r="H374" s="76"/>
      <c r="I374" s="77"/>
    </row>
    <row r="375" spans="1:9" ht="33" customHeight="1" x14ac:dyDescent="0.3">
      <c r="A375" s="11">
        <v>454300000</v>
      </c>
      <c r="B375" s="46"/>
      <c r="C375" s="71" t="s">
        <v>59</v>
      </c>
      <c r="D375" s="71"/>
      <c r="E375" s="28">
        <f>20568+4992</f>
        <v>25560</v>
      </c>
      <c r="F375" s="75"/>
      <c r="G375" s="76"/>
      <c r="H375" s="76"/>
      <c r="I375" s="77"/>
    </row>
    <row r="376" spans="1:9" ht="33" customHeight="1" x14ac:dyDescent="0.3">
      <c r="A376" s="11">
        <v>458600000</v>
      </c>
      <c r="B376" s="46"/>
      <c r="C376" s="71" t="s">
        <v>26</v>
      </c>
      <c r="D376" s="71"/>
      <c r="E376" s="28">
        <f>15426+3744</f>
        <v>19170</v>
      </c>
      <c r="F376" s="75"/>
      <c r="G376" s="76"/>
      <c r="H376" s="76"/>
      <c r="I376" s="77"/>
    </row>
    <row r="377" spans="1:9" ht="33" customHeight="1" x14ac:dyDescent="0.3">
      <c r="A377" s="11">
        <v>456800000</v>
      </c>
      <c r="B377" s="46"/>
      <c r="C377" s="71" t="s">
        <v>12</v>
      </c>
      <c r="D377" s="71"/>
      <c r="E377" s="28">
        <f>27424+6656</f>
        <v>34080</v>
      </c>
      <c r="F377" s="75"/>
      <c r="G377" s="76"/>
      <c r="H377" s="76"/>
      <c r="I377" s="77"/>
    </row>
    <row r="378" spans="1:9" ht="33" customHeight="1" x14ac:dyDescent="0.3">
      <c r="A378" s="11">
        <v>455900000</v>
      </c>
      <c r="B378" s="46"/>
      <c r="C378" s="71" t="s">
        <v>71</v>
      </c>
      <c r="D378" s="71"/>
      <c r="E378" s="28">
        <f>22282+5408</f>
        <v>27690</v>
      </c>
      <c r="F378" s="75"/>
      <c r="G378" s="76"/>
      <c r="H378" s="76"/>
      <c r="I378" s="77"/>
    </row>
    <row r="379" spans="1:9" ht="33" customHeight="1" x14ac:dyDescent="0.3">
      <c r="A379" s="11">
        <v>452300000</v>
      </c>
      <c r="B379" s="46"/>
      <c r="C379" s="71" t="s">
        <v>47</v>
      </c>
      <c r="D379" s="71"/>
      <c r="E379" s="28">
        <f>22282+5408</f>
        <v>27690</v>
      </c>
      <c r="F379" s="75"/>
      <c r="G379" s="76"/>
      <c r="H379" s="76"/>
      <c r="I379" s="77"/>
    </row>
    <row r="380" spans="1:9" ht="33" customHeight="1" x14ac:dyDescent="0.3">
      <c r="A380" s="11">
        <v>458700000</v>
      </c>
      <c r="B380" s="46"/>
      <c r="C380" s="71" t="s">
        <v>27</v>
      </c>
      <c r="D380" s="71"/>
      <c r="E380" s="28">
        <f>11998+2912</f>
        <v>14910</v>
      </c>
      <c r="F380" s="75"/>
      <c r="G380" s="76"/>
      <c r="H380" s="76"/>
      <c r="I380" s="77"/>
    </row>
    <row r="381" spans="1:9" ht="33" customHeight="1" x14ac:dyDescent="0.3">
      <c r="A381" s="11">
        <v>458800000</v>
      </c>
      <c r="B381" s="46"/>
      <c r="C381" s="71" t="s">
        <v>28</v>
      </c>
      <c r="D381" s="71"/>
      <c r="E381" s="28">
        <f>41136+9984</f>
        <v>51120</v>
      </c>
      <c r="F381" s="75"/>
      <c r="G381" s="76"/>
      <c r="H381" s="76"/>
      <c r="I381" s="77"/>
    </row>
    <row r="382" spans="1:9" ht="33" customHeight="1" x14ac:dyDescent="0.3">
      <c r="A382" s="11">
        <v>454600000</v>
      </c>
      <c r="B382" s="46"/>
      <c r="C382" s="71" t="s">
        <v>60</v>
      </c>
      <c r="D382" s="71"/>
      <c r="E382" s="28">
        <f>10284+2496</f>
        <v>12780</v>
      </c>
      <c r="F382" s="75"/>
      <c r="G382" s="76"/>
      <c r="H382" s="76"/>
      <c r="I382" s="77"/>
    </row>
    <row r="383" spans="1:9" ht="33" customHeight="1" x14ac:dyDescent="0.3">
      <c r="A383" s="11">
        <v>452400000</v>
      </c>
      <c r="B383" s="46"/>
      <c r="C383" s="71" t="s">
        <v>48</v>
      </c>
      <c r="D383" s="71"/>
      <c r="E383" s="28">
        <f>1714+416</f>
        <v>2130</v>
      </c>
      <c r="F383" s="75"/>
      <c r="G383" s="76"/>
      <c r="H383" s="76"/>
      <c r="I383" s="77"/>
    </row>
    <row r="384" spans="1:9" ht="33" customHeight="1" x14ac:dyDescent="0.3">
      <c r="A384" s="11">
        <v>455500000</v>
      </c>
      <c r="B384" s="46"/>
      <c r="C384" s="71" t="s">
        <v>67</v>
      </c>
      <c r="D384" s="71"/>
      <c r="E384" s="28">
        <f>5142+1248</f>
        <v>6390</v>
      </c>
      <c r="F384" s="75"/>
      <c r="G384" s="76"/>
      <c r="H384" s="76"/>
      <c r="I384" s="77"/>
    </row>
    <row r="385" spans="1:9" ht="33" customHeight="1" x14ac:dyDescent="0.3">
      <c r="A385" s="11">
        <v>451500000</v>
      </c>
      <c r="B385" s="46"/>
      <c r="C385" s="71" t="s">
        <v>42</v>
      </c>
      <c r="D385" s="71"/>
      <c r="E385" s="28">
        <f>34280+8320-15000</f>
        <v>27600</v>
      </c>
      <c r="F385" s="75"/>
      <c r="G385" s="76"/>
      <c r="H385" s="76"/>
      <c r="I385" s="77"/>
    </row>
    <row r="386" spans="1:9" s="2" customFormat="1" ht="33" customHeight="1" x14ac:dyDescent="0.3">
      <c r="A386" s="11">
        <v>459000000</v>
      </c>
      <c r="B386" s="46"/>
      <c r="C386" s="71" t="s">
        <v>110</v>
      </c>
      <c r="D386" s="71"/>
      <c r="E386" s="28">
        <f>6856+1664-118</f>
        <v>8402</v>
      </c>
      <c r="F386" s="75"/>
      <c r="G386" s="76"/>
      <c r="H386" s="76"/>
      <c r="I386" s="77"/>
    </row>
    <row r="387" spans="1:9" s="2" customFormat="1" ht="33" customHeight="1" x14ac:dyDescent="0.3">
      <c r="A387" s="11">
        <v>451300000</v>
      </c>
      <c r="B387" s="46"/>
      <c r="C387" s="71" t="s">
        <v>41</v>
      </c>
      <c r="D387" s="71"/>
      <c r="E387" s="28">
        <f>42850+10400</f>
        <v>53250</v>
      </c>
      <c r="F387" s="75"/>
      <c r="G387" s="76"/>
      <c r="H387" s="76"/>
      <c r="I387" s="77"/>
    </row>
    <row r="388" spans="1:9" s="2" customFormat="1" ht="33" customHeight="1" x14ac:dyDescent="0.3">
      <c r="A388" s="11">
        <v>452500000</v>
      </c>
      <c r="B388" s="46"/>
      <c r="C388" s="71" t="s">
        <v>49</v>
      </c>
      <c r="D388" s="71"/>
      <c r="E388" s="28">
        <f>32566+7904</f>
        <v>40470</v>
      </c>
      <c r="F388" s="75"/>
      <c r="G388" s="76"/>
      <c r="H388" s="76"/>
      <c r="I388" s="77"/>
    </row>
    <row r="389" spans="1:9" s="2" customFormat="1" ht="33" customHeight="1" x14ac:dyDescent="0.3">
      <c r="A389" s="11">
        <v>452600000</v>
      </c>
      <c r="B389" s="46"/>
      <c r="C389" s="71" t="s">
        <v>50</v>
      </c>
      <c r="D389" s="71"/>
      <c r="E389" s="28">
        <f>23996+5824</f>
        <v>29820</v>
      </c>
      <c r="F389" s="75"/>
      <c r="G389" s="76"/>
      <c r="H389" s="76"/>
      <c r="I389" s="77"/>
    </row>
    <row r="390" spans="1:9" s="2" customFormat="1" ht="33" customHeight="1" x14ac:dyDescent="0.3">
      <c r="A390" s="11">
        <v>454200000</v>
      </c>
      <c r="B390" s="46"/>
      <c r="C390" s="71" t="s">
        <v>58</v>
      </c>
      <c r="D390" s="71"/>
      <c r="E390" s="28">
        <f>1714+416</f>
        <v>2130</v>
      </c>
      <c r="F390" s="75"/>
      <c r="G390" s="76"/>
      <c r="H390" s="76"/>
      <c r="I390" s="77"/>
    </row>
    <row r="391" spans="1:9" s="2" customFormat="1" ht="33" customHeight="1" x14ac:dyDescent="0.3">
      <c r="A391" s="11">
        <v>455400000</v>
      </c>
      <c r="B391" s="46"/>
      <c r="C391" s="71" t="s">
        <v>66</v>
      </c>
      <c r="D391" s="71"/>
      <c r="E391" s="28">
        <f>3428+832-3458</f>
        <v>802</v>
      </c>
      <c r="F391" s="75"/>
      <c r="G391" s="76"/>
      <c r="H391" s="76"/>
      <c r="I391" s="77"/>
    </row>
    <row r="392" spans="1:9" s="2" customFormat="1" ht="33" customHeight="1" x14ac:dyDescent="0.3">
      <c r="A392" s="11">
        <v>452700000</v>
      </c>
      <c r="B392" s="46"/>
      <c r="C392" s="71" t="s">
        <v>51</v>
      </c>
      <c r="D392" s="71"/>
      <c r="E392" s="28">
        <f>25710+6240</f>
        <v>31950</v>
      </c>
      <c r="F392" s="75"/>
      <c r="G392" s="76"/>
      <c r="H392" s="76"/>
      <c r="I392" s="77"/>
    </row>
    <row r="393" spans="1:9" s="2" customFormat="1" ht="33" customHeight="1" x14ac:dyDescent="0.3">
      <c r="A393" s="11">
        <v>454000000</v>
      </c>
      <c r="B393" s="46"/>
      <c r="C393" s="71" t="s">
        <v>57</v>
      </c>
      <c r="D393" s="71"/>
      <c r="E393" s="28">
        <f>13712+3328</f>
        <v>17040</v>
      </c>
      <c r="F393" s="75"/>
      <c r="G393" s="76"/>
      <c r="H393" s="76"/>
      <c r="I393" s="77"/>
    </row>
    <row r="394" spans="1:9" s="2" customFormat="1" ht="33" customHeight="1" x14ac:dyDescent="0.3">
      <c r="A394" s="11">
        <v>457000000</v>
      </c>
      <c r="B394" s="46"/>
      <c r="C394" s="71" t="s">
        <v>13</v>
      </c>
      <c r="D394" s="71"/>
      <c r="E394" s="28">
        <f>15426+3744</f>
        <v>19170</v>
      </c>
      <c r="F394" s="75"/>
      <c r="G394" s="76"/>
      <c r="H394" s="76"/>
      <c r="I394" s="77"/>
    </row>
    <row r="395" spans="1:9" s="2" customFormat="1" ht="33" customHeight="1" x14ac:dyDescent="0.3">
      <c r="A395" s="11">
        <v>456700000</v>
      </c>
      <c r="B395" s="46"/>
      <c r="C395" s="71" t="s">
        <v>11</v>
      </c>
      <c r="D395" s="71"/>
      <c r="E395" s="28">
        <f>3428+832</f>
        <v>4260</v>
      </c>
      <c r="F395" s="75"/>
      <c r="G395" s="76"/>
      <c r="H395" s="76"/>
      <c r="I395" s="77"/>
    </row>
    <row r="396" spans="1:9" s="2" customFormat="1" ht="33" customHeight="1" x14ac:dyDescent="0.3">
      <c r="A396" s="11">
        <v>455100000</v>
      </c>
      <c r="B396" s="46"/>
      <c r="C396" s="71" t="s">
        <v>63</v>
      </c>
      <c r="D396" s="71"/>
      <c r="E396" s="28">
        <f>8570+2080</f>
        <v>10650</v>
      </c>
      <c r="F396" s="75"/>
      <c r="G396" s="76"/>
      <c r="H396" s="76"/>
      <c r="I396" s="77"/>
    </row>
    <row r="397" spans="1:9" s="2" customFormat="1" ht="33" customHeight="1" x14ac:dyDescent="0.3">
      <c r="A397" s="11">
        <v>455200000</v>
      </c>
      <c r="B397" s="46"/>
      <c r="C397" s="71" t="s">
        <v>64</v>
      </c>
      <c r="D397" s="71"/>
      <c r="E397" s="28">
        <f>3428+832</f>
        <v>4260</v>
      </c>
      <c r="F397" s="75"/>
      <c r="G397" s="76"/>
      <c r="H397" s="76"/>
      <c r="I397" s="77"/>
    </row>
    <row r="398" spans="1:9" s="4" customFormat="1" ht="39.75" customHeight="1" x14ac:dyDescent="0.3">
      <c r="A398" s="69"/>
      <c r="B398" s="69"/>
      <c r="C398" s="70" t="s">
        <v>141</v>
      </c>
      <c r="D398" s="70"/>
      <c r="E398" s="24"/>
      <c r="F398" s="84"/>
      <c r="G398" s="84"/>
      <c r="H398" s="84"/>
      <c r="I398" s="84"/>
    </row>
    <row r="399" spans="1:9" ht="58.5" customHeight="1" x14ac:dyDescent="0.3">
      <c r="A399" s="43" t="s">
        <v>82</v>
      </c>
      <c r="B399" s="18">
        <v>9770</v>
      </c>
      <c r="C399" s="93" t="s">
        <v>284</v>
      </c>
      <c r="D399" s="94"/>
      <c r="E399" s="27">
        <f>E400</f>
        <v>374500</v>
      </c>
      <c r="F399" s="75"/>
      <c r="G399" s="76"/>
      <c r="H399" s="76"/>
      <c r="I399" s="77"/>
    </row>
    <row r="400" spans="1:9" ht="32.25" customHeight="1" x14ac:dyDescent="0.3">
      <c r="A400" s="11">
        <v>710000000</v>
      </c>
      <c r="B400" s="41"/>
      <c r="C400" s="71" t="s">
        <v>285</v>
      </c>
      <c r="D400" s="71"/>
      <c r="E400" s="26">
        <f>374500</f>
        <v>374500</v>
      </c>
      <c r="F400" s="79"/>
      <c r="G400" s="80"/>
      <c r="H400" s="80"/>
      <c r="I400" s="81"/>
    </row>
    <row r="401" spans="1:9" s="4" customFormat="1" ht="39.75" customHeight="1" x14ac:dyDescent="0.3">
      <c r="A401" s="69"/>
      <c r="B401" s="69"/>
      <c r="C401" s="70" t="s">
        <v>141</v>
      </c>
      <c r="D401" s="70"/>
      <c r="E401" s="24"/>
      <c r="F401" s="84"/>
      <c r="G401" s="84"/>
      <c r="H401" s="84"/>
      <c r="I401" s="84"/>
    </row>
    <row r="402" spans="1:9" ht="58.5" customHeight="1" x14ac:dyDescent="0.3">
      <c r="A402" s="43" t="s">
        <v>82</v>
      </c>
      <c r="B402" s="18">
        <v>9770</v>
      </c>
      <c r="C402" s="93" t="s">
        <v>287</v>
      </c>
      <c r="D402" s="94"/>
      <c r="E402" s="27">
        <f>SUM(E403:E407)</f>
        <v>13497700</v>
      </c>
      <c r="F402" s="75"/>
      <c r="G402" s="76"/>
      <c r="H402" s="76"/>
      <c r="I402" s="77"/>
    </row>
    <row r="403" spans="1:9" ht="32.25" customHeight="1" x14ac:dyDescent="0.3">
      <c r="A403" s="30" t="s">
        <v>288</v>
      </c>
      <c r="B403" s="41"/>
      <c r="C403" s="71" t="s">
        <v>289</v>
      </c>
      <c r="D403" s="71"/>
      <c r="E403" s="26">
        <v>876800</v>
      </c>
      <c r="F403" s="79"/>
      <c r="G403" s="80"/>
      <c r="H403" s="80"/>
      <c r="I403" s="81"/>
    </row>
    <row r="404" spans="1:9" ht="32.25" customHeight="1" x14ac:dyDescent="0.3">
      <c r="A404" s="30" t="s">
        <v>290</v>
      </c>
      <c r="B404" s="41"/>
      <c r="C404" s="71" t="s">
        <v>291</v>
      </c>
      <c r="D404" s="71"/>
      <c r="E404" s="26">
        <v>1682370</v>
      </c>
      <c r="F404" s="79"/>
      <c r="G404" s="80"/>
      <c r="H404" s="80"/>
      <c r="I404" s="81"/>
    </row>
    <row r="405" spans="1:9" ht="32.25" customHeight="1" x14ac:dyDescent="0.3">
      <c r="A405" s="30" t="s">
        <v>292</v>
      </c>
      <c r="B405" s="41"/>
      <c r="C405" s="71" t="s">
        <v>293</v>
      </c>
      <c r="D405" s="71"/>
      <c r="E405" s="26">
        <v>4795190</v>
      </c>
      <c r="F405" s="79"/>
      <c r="G405" s="80"/>
      <c r="H405" s="80"/>
      <c r="I405" s="81"/>
    </row>
    <row r="406" spans="1:9" ht="32.25" customHeight="1" x14ac:dyDescent="0.3">
      <c r="A406" s="30" t="s">
        <v>294</v>
      </c>
      <c r="B406" s="41"/>
      <c r="C406" s="71" t="s">
        <v>295</v>
      </c>
      <c r="D406" s="71"/>
      <c r="E406" s="26">
        <v>1539340</v>
      </c>
      <c r="F406" s="79"/>
      <c r="G406" s="80"/>
      <c r="H406" s="80"/>
      <c r="I406" s="81"/>
    </row>
    <row r="407" spans="1:9" ht="32.25" customHeight="1" x14ac:dyDescent="0.3">
      <c r="A407" s="34">
        <v>2600000000</v>
      </c>
      <c r="B407" s="41"/>
      <c r="C407" s="71" t="s">
        <v>317</v>
      </c>
      <c r="D407" s="71"/>
      <c r="E407" s="26">
        <v>4604000</v>
      </c>
      <c r="F407" s="79"/>
      <c r="G407" s="80"/>
      <c r="H407" s="80"/>
      <c r="I407" s="81"/>
    </row>
    <row r="408" spans="1:9" s="4" customFormat="1" ht="44.25" customHeight="1" x14ac:dyDescent="0.3">
      <c r="A408" s="83"/>
      <c r="B408" s="83"/>
      <c r="C408" s="70" t="s">
        <v>143</v>
      </c>
      <c r="D408" s="70"/>
      <c r="E408" s="24"/>
      <c r="F408" s="79"/>
      <c r="G408" s="80"/>
      <c r="H408" s="80"/>
      <c r="I408" s="81"/>
    </row>
    <row r="409" spans="1:9" s="6" customFormat="1" ht="48" customHeight="1" x14ac:dyDescent="0.3">
      <c r="A409" s="17" t="s">
        <v>115</v>
      </c>
      <c r="B409" s="18">
        <v>9770</v>
      </c>
      <c r="C409" s="86" t="s">
        <v>247</v>
      </c>
      <c r="D409" s="86"/>
      <c r="E409" s="25">
        <f>E410</f>
        <v>3800000</v>
      </c>
      <c r="F409" s="91" t="s">
        <v>279</v>
      </c>
      <c r="G409" s="92"/>
      <c r="H409" s="92"/>
      <c r="I409" s="97"/>
    </row>
    <row r="410" spans="1:9" s="6" customFormat="1" ht="32.25" customHeight="1" x14ac:dyDescent="0.3">
      <c r="A410" s="11">
        <v>454000000</v>
      </c>
      <c r="B410" s="46"/>
      <c r="C410" s="71" t="s">
        <v>57</v>
      </c>
      <c r="D410" s="71"/>
      <c r="E410" s="26">
        <v>3800000</v>
      </c>
      <c r="F410" s="79">
        <v>3800000</v>
      </c>
      <c r="G410" s="80"/>
      <c r="H410" s="80"/>
      <c r="I410" s="81"/>
    </row>
    <row r="411" spans="1:9" s="6" customFormat="1" ht="38.25" customHeight="1" x14ac:dyDescent="0.3">
      <c r="A411" s="83"/>
      <c r="B411" s="83"/>
      <c r="C411" s="70" t="s">
        <v>146</v>
      </c>
      <c r="D411" s="70"/>
      <c r="E411" s="24"/>
      <c r="F411" s="84"/>
      <c r="G411" s="84"/>
      <c r="H411" s="84"/>
      <c r="I411" s="84"/>
    </row>
    <row r="412" spans="1:9" ht="59.25" customHeight="1" x14ac:dyDescent="0.3">
      <c r="A412" s="17" t="s">
        <v>97</v>
      </c>
      <c r="B412" s="18">
        <v>9800</v>
      </c>
      <c r="C412" s="86" t="s">
        <v>95</v>
      </c>
      <c r="D412" s="86"/>
      <c r="E412" s="27">
        <f>E413</f>
        <v>38050000</v>
      </c>
      <c r="F412" s="87" t="s">
        <v>319</v>
      </c>
      <c r="G412" s="87"/>
      <c r="H412" s="87"/>
      <c r="I412" s="87"/>
    </row>
    <row r="413" spans="1:9" s="6" customFormat="1" ht="33" customHeight="1" x14ac:dyDescent="0.3">
      <c r="A413" s="42">
        <v>9900000000</v>
      </c>
      <c r="B413" s="42"/>
      <c r="C413" s="72" t="s">
        <v>1</v>
      </c>
      <c r="D413" s="73"/>
      <c r="E413" s="28">
        <f>F413</f>
        <v>38050000</v>
      </c>
      <c r="F413" s="75">
        <f>200000000-29950000-55000000-27000000-30000000-12000000-100000-8000000+100000</f>
        <v>38050000</v>
      </c>
      <c r="G413" s="76"/>
      <c r="H413" s="76"/>
      <c r="I413" s="77"/>
    </row>
    <row r="414" spans="1:9" s="6" customFormat="1" ht="38.25" customHeight="1" x14ac:dyDescent="0.3">
      <c r="A414" s="83"/>
      <c r="B414" s="83"/>
      <c r="C414" s="70" t="s">
        <v>146</v>
      </c>
      <c r="D414" s="70"/>
      <c r="E414" s="24"/>
      <c r="F414" s="84"/>
      <c r="G414" s="84"/>
      <c r="H414" s="84"/>
      <c r="I414" s="84"/>
    </row>
    <row r="415" spans="1:9" ht="64.5" customHeight="1" x14ac:dyDescent="0.3">
      <c r="A415" s="17" t="s">
        <v>97</v>
      </c>
      <c r="B415" s="18">
        <v>9800</v>
      </c>
      <c r="C415" s="93" t="s">
        <v>95</v>
      </c>
      <c r="D415" s="94"/>
      <c r="E415" s="27">
        <f>E416</f>
        <v>409465808</v>
      </c>
      <c r="F415" s="98" t="s">
        <v>112</v>
      </c>
      <c r="G415" s="99"/>
      <c r="H415" s="99"/>
      <c r="I415" s="100"/>
    </row>
    <row r="416" spans="1:9" s="6" customFormat="1" ht="33" customHeight="1" x14ac:dyDescent="0.3">
      <c r="A416" s="42">
        <v>9900000000</v>
      </c>
      <c r="B416" s="42"/>
      <c r="C416" s="72" t="s">
        <v>1</v>
      </c>
      <c r="D416" s="73"/>
      <c r="E416" s="28">
        <f>F416</f>
        <v>409465808</v>
      </c>
      <c r="F416" s="75">
        <f>80000000+100000+1340980+2192880+7103240+7490620-10000000-4000000+65000000+8749280+7921360+872200+397240+120440+1633440+40000000-85000+5916656+340000+20000000+880000-95000+1525000+45000000+2000000+45000000+203300+2957017+150000-70000+45000000-100000+1422155-15000000+55500000-10000000</f>
        <v>409465808</v>
      </c>
      <c r="G416" s="76"/>
      <c r="H416" s="76"/>
      <c r="I416" s="77"/>
    </row>
    <row r="417" spans="1:9" s="6" customFormat="1" ht="39" customHeight="1" x14ac:dyDescent="0.3">
      <c r="A417" s="83"/>
      <c r="B417" s="83"/>
      <c r="C417" s="70" t="s">
        <v>147</v>
      </c>
      <c r="D417" s="70"/>
      <c r="E417" s="24"/>
      <c r="F417" s="84"/>
      <c r="G417" s="84"/>
      <c r="H417" s="84"/>
      <c r="I417" s="84"/>
    </row>
    <row r="418" spans="1:9" ht="61.5" customHeight="1" x14ac:dyDescent="0.3">
      <c r="A418" s="17" t="s">
        <v>96</v>
      </c>
      <c r="B418" s="18">
        <v>9800</v>
      </c>
      <c r="C418" s="86" t="s">
        <v>95</v>
      </c>
      <c r="D418" s="86"/>
      <c r="E418" s="27">
        <f>E419</f>
        <v>3000000</v>
      </c>
      <c r="F418" s="87" t="s">
        <v>319</v>
      </c>
      <c r="G418" s="87"/>
      <c r="H418" s="87"/>
      <c r="I418" s="87"/>
    </row>
    <row r="419" spans="1:9" s="6" customFormat="1" ht="33" customHeight="1" x14ac:dyDescent="0.3">
      <c r="A419" s="42">
        <v>9900000000</v>
      </c>
      <c r="B419" s="42"/>
      <c r="C419" s="72" t="s">
        <v>1</v>
      </c>
      <c r="D419" s="73"/>
      <c r="E419" s="28">
        <f>F419</f>
        <v>3000000</v>
      </c>
      <c r="F419" s="75">
        <f>3000000</f>
        <v>3000000</v>
      </c>
      <c r="G419" s="76"/>
      <c r="H419" s="76"/>
      <c r="I419" s="77"/>
    </row>
    <row r="420" spans="1:9" s="6" customFormat="1" ht="39" customHeight="1" x14ac:dyDescent="0.3">
      <c r="A420" s="83"/>
      <c r="B420" s="83"/>
      <c r="C420" s="70" t="s">
        <v>147</v>
      </c>
      <c r="D420" s="70"/>
      <c r="E420" s="24"/>
      <c r="F420" s="84"/>
      <c r="G420" s="84"/>
      <c r="H420" s="84"/>
      <c r="I420" s="84"/>
    </row>
    <row r="421" spans="1:9" ht="79.5" customHeight="1" x14ac:dyDescent="0.3">
      <c r="A421" s="17" t="s">
        <v>96</v>
      </c>
      <c r="B421" s="18">
        <v>9800</v>
      </c>
      <c r="C421" s="86" t="s">
        <v>95</v>
      </c>
      <c r="D421" s="86"/>
      <c r="E421" s="27">
        <f>E422</f>
        <v>25169651</v>
      </c>
      <c r="F421" s="87" t="s">
        <v>320</v>
      </c>
      <c r="G421" s="87"/>
      <c r="H421" s="87"/>
      <c r="I421" s="87"/>
    </row>
    <row r="422" spans="1:9" s="6" customFormat="1" ht="33" customHeight="1" x14ac:dyDescent="0.3">
      <c r="A422" s="42">
        <v>9900000000</v>
      </c>
      <c r="B422" s="42"/>
      <c r="C422" s="72" t="s">
        <v>1</v>
      </c>
      <c r="D422" s="73"/>
      <c r="E422" s="28">
        <f>F422</f>
        <v>25169651</v>
      </c>
      <c r="F422" s="75">
        <f>3799600+1440000+2610000+2520000+4800051+10000000</f>
        <v>25169651</v>
      </c>
      <c r="G422" s="76"/>
      <c r="H422" s="76"/>
      <c r="I422" s="77"/>
    </row>
    <row r="423" spans="1:9" s="4" customFormat="1" ht="40.5" customHeight="1" x14ac:dyDescent="0.3">
      <c r="A423" s="83"/>
      <c r="B423" s="83"/>
      <c r="C423" s="70" t="s">
        <v>138</v>
      </c>
      <c r="D423" s="70"/>
      <c r="E423" s="24"/>
      <c r="F423" s="84"/>
      <c r="G423" s="84"/>
      <c r="H423" s="84"/>
      <c r="I423" s="84"/>
    </row>
    <row r="424" spans="1:9" ht="69.75" customHeight="1" x14ac:dyDescent="0.3">
      <c r="A424" s="17" t="s">
        <v>98</v>
      </c>
      <c r="B424" s="18">
        <v>9800</v>
      </c>
      <c r="C424" s="86" t="s">
        <v>95</v>
      </c>
      <c r="D424" s="86"/>
      <c r="E424" s="27">
        <f>E425</f>
        <v>157110000</v>
      </c>
      <c r="F424" s="87" t="s">
        <v>321</v>
      </c>
      <c r="G424" s="87"/>
      <c r="H424" s="87"/>
      <c r="I424" s="87"/>
    </row>
    <row r="425" spans="1:9" s="6" customFormat="1" ht="33" customHeight="1" x14ac:dyDescent="0.3">
      <c r="A425" s="42">
        <v>9900000000</v>
      </c>
      <c r="B425" s="42"/>
      <c r="C425" s="72" t="s">
        <v>1</v>
      </c>
      <c r="D425" s="73"/>
      <c r="E425" s="28">
        <f>F425</f>
        <v>157110000</v>
      </c>
      <c r="F425" s="75">
        <f>70000000-700000+7300000+81760000-1150000-100000</f>
        <v>157110000</v>
      </c>
      <c r="G425" s="76"/>
      <c r="H425" s="76"/>
      <c r="I425" s="77"/>
    </row>
    <row r="426" spans="1:9" s="6" customFormat="1" ht="33" customHeight="1" x14ac:dyDescent="0.3">
      <c r="A426" s="88" t="s">
        <v>107</v>
      </c>
      <c r="B426" s="89"/>
      <c r="C426" s="89"/>
      <c r="D426" s="89"/>
      <c r="E426" s="89"/>
      <c r="F426" s="89"/>
      <c r="G426" s="89"/>
      <c r="H426" s="89"/>
      <c r="I426" s="90"/>
    </row>
    <row r="427" spans="1:9" s="6" customFormat="1" ht="40.5" customHeight="1" x14ac:dyDescent="0.3">
      <c r="A427" s="83"/>
      <c r="B427" s="83"/>
      <c r="C427" s="70" t="s">
        <v>257</v>
      </c>
      <c r="D427" s="70"/>
      <c r="E427" s="19"/>
      <c r="F427" s="84"/>
      <c r="G427" s="84"/>
      <c r="H427" s="84"/>
      <c r="I427" s="84"/>
    </row>
    <row r="428" spans="1:9" s="6" customFormat="1" ht="32.25" customHeight="1" x14ac:dyDescent="0.3">
      <c r="A428" s="17" t="s">
        <v>313</v>
      </c>
      <c r="B428" s="18">
        <v>9740</v>
      </c>
      <c r="C428" s="86" t="s">
        <v>314</v>
      </c>
      <c r="D428" s="86"/>
      <c r="E428" s="27">
        <f>E429</f>
        <v>24968600</v>
      </c>
      <c r="F428" s="87" t="s">
        <v>116</v>
      </c>
      <c r="G428" s="87"/>
      <c r="H428" s="87"/>
      <c r="I428" s="87"/>
    </row>
    <row r="429" spans="1:9" s="6" customFormat="1" ht="33" customHeight="1" x14ac:dyDescent="0.3">
      <c r="A429" s="11">
        <v>458200000</v>
      </c>
      <c r="B429" s="46"/>
      <c r="C429" s="71" t="s">
        <v>22</v>
      </c>
      <c r="D429" s="71"/>
      <c r="E429" s="28">
        <f>F429</f>
        <v>24968600</v>
      </c>
      <c r="F429" s="75">
        <f>24968600</f>
        <v>24968600</v>
      </c>
      <c r="G429" s="76"/>
      <c r="H429" s="76"/>
      <c r="I429" s="77"/>
    </row>
    <row r="430" spans="1:9" s="4" customFormat="1" ht="39" customHeight="1" x14ac:dyDescent="0.3">
      <c r="A430" s="83"/>
      <c r="B430" s="83"/>
      <c r="C430" s="70" t="s">
        <v>142</v>
      </c>
      <c r="D430" s="70"/>
      <c r="E430" s="24"/>
      <c r="F430" s="84"/>
      <c r="G430" s="84"/>
      <c r="H430" s="84"/>
      <c r="I430" s="84"/>
    </row>
    <row r="431" spans="1:9" s="6" customFormat="1" ht="45.75" customHeight="1" x14ac:dyDescent="0.3">
      <c r="A431" s="17" t="s">
        <v>134</v>
      </c>
      <c r="B431" s="18">
        <v>9750</v>
      </c>
      <c r="C431" s="86" t="s">
        <v>133</v>
      </c>
      <c r="D431" s="86"/>
      <c r="E431" s="27">
        <f>SUM(E432:E434)</f>
        <v>319376995</v>
      </c>
      <c r="F431" s="87" t="s">
        <v>116</v>
      </c>
      <c r="G431" s="87"/>
      <c r="H431" s="87"/>
      <c r="I431" s="87"/>
    </row>
    <row r="432" spans="1:9" s="6" customFormat="1" ht="33" customHeight="1" x14ac:dyDescent="0.3">
      <c r="A432" s="11">
        <v>457600000</v>
      </c>
      <c r="B432" s="46"/>
      <c r="C432" s="71" t="s">
        <v>17</v>
      </c>
      <c r="D432" s="71"/>
      <c r="E432" s="28">
        <f>F432</f>
        <v>192164943</v>
      </c>
      <c r="F432" s="75">
        <f>122540000+69624943</f>
        <v>192164943</v>
      </c>
      <c r="G432" s="76"/>
      <c r="H432" s="76"/>
      <c r="I432" s="77"/>
    </row>
    <row r="433" spans="1:9" s="6" customFormat="1" ht="33" customHeight="1" x14ac:dyDescent="0.3">
      <c r="A433" s="11">
        <v>457810000</v>
      </c>
      <c r="B433" s="46"/>
      <c r="C433" s="71" t="s">
        <v>19</v>
      </c>
      <c r="D433" s="71"/>
      <c r="E433" s="28">
        <f>F433</f>
        <v>71386350</v>
      </c>
      <c r="F433" s="75">
        <f>35386350+36000000</f>
        <v>71386350</v>
      </c>
      <c r="G433" s="76"/>
      <c r="H433" s="76"/>
      <c r="I433" s="77"/>
    </row>
    <row r="434" spans="1:9" ht="33" customHeight="1" x14ac:dyDescent="0.3">
      <c r="A434" s="11">
        <v>458400000</v>
      </c>
      <c r="B434" s="46"/>
      <c r="C434" s="71" t="s">
        <v>24</v>
      </c>
      <c r="D434" s="71"/>
      <c r="E434" s="28">
        <f>F434</f>
        <v>55825702</v>
      </c>
      <c r="F434" s="75">
        <v>55825702</v>
      </c>
      <c r="G434" s="76"/>
      <c r="H434" s="76"/>
      <c r="I434" s="77"/>
    </row>
    <row r="435" spans="1:9" s="4" customFormat="1" ht="33" customHeight="1" x14ac:dyDescent="0.3">
      <c r="A435" s="83"/>
      <c r="B435" s="83"/>
      <c r="C435" s="85" t="s">
        <v>140</v>
      </c>
      <c r="D435" s="85"/>
      <c r="E435" s="24"/>
      <c r="F435" s="84"/>
      <c r="G435" s="84"/>
      <c r="H435" s="84"/>
      <c r="I435" s="84"/>
    </row>
    <row r="436" spans="1:9" s="6" customFormat="1" ht="48" customHeight="1" x14ac:dyDescent="0.3">
      <c r="A436" s="17" t="s">
        <v>106</v>
      </c>
      <c r="B436" s="18">
        <v>9770</v>
      </c>
      <c r="C436" s="86" t="s">
        <v>144</v>
      </c>
      <c r="D436" s="86"/>
      <c r="E436" s="25">
        <f>SUM(E437:E465)</f>
        <v>5745013</v>
      </c>
      <c r="F436" s="91" t="s">
        <v>116</v>
      </c>
      <c r="G436" s="92"/>
      <c r="H436" s="92"/>
      <c r="I436" s="97"/>
    </row>
    <row r="437" spans="1:9" ht="33" customHeight="1" x14ac:dyDescent="0.3">
      <c r="A437" s="11">
        <v>457400000</v>
      </c>
      <c r="B437" s="46"/>
      <c r="C437" s="72" t="s">
        <v>15</v>
      </c>
      <c r="D437" s="73"/>
      <c r="E437" s="28">
        <f>F437</f>
        <v>50000</v>
      </c>
      <c r="F437" s="75">
        <f>50000</f>
        <v>50000</v>
      </c>
      <c r="G437" s="76"/>
      <c r="H437" s="76"/>
      <c r="I437" s="77"/>
    </row>
    <row r="438" spans="1:9" ht="33" customHeight="1" x14ac:dyDescent="0.3">
      <c r="A438" s="11">
        <v>457600000</v>
      </c>
      <c r="B438" s="46"/>
      <c r="C438" s="71" t="s">
        <v>17</v>
      </c>
      <c r="D438" s="71"/>
      <c r="E438" s="28">
        <f>F438</f>
        <v>1607862</v>
      </c>
      <c r="F438" s="75">
        <f>672000+935862</f>
        <v>1607862</v>
      </c>
      <c r="G438" s="76"/>
      <c r="H438" s="76"/>
      <c r="I438" s="77"/>
    </row>
    <row r="439" spans="1:9" ht="33" customHeight="1" x14ac:dyDescent="0.3">
      <c r="A439" s="11">
        <v>457700000</v>
      </c>
      <c r="B439" s="46"/>
      <c r="C439" s="71" t="s">
        <v>18</v>
      </c>
      <c r="D439" s="71"/>
      <c r="E439" s="28">
        <f t="shared" ref="E439:E465" si="14">F439</f>
        <v>275862</v>
      </c>
      <c r="F439" s="75">
        <v>275862</v>
      </c>
      <c r="G439" s="76"/>
      <c r="H439" s="76"/>
      <c r="I439" s="77"/>
    </row>
    <row r="440" spans="1:9" ht="33" customHeight="1" x14ac:dyDescent="0.3">
      <c r="A440" s="11">
        <v>457810000</v>
      </c>
      <c r="B440" s="46"/>
      <c r="C440" s="71" t="s">
        <v>19</v>
      </c>
      <c r="D440" s="71"/>
      <c r="E440" s="28">
        <f t="shared" si="14"/>
        <v>1405862</v>
      </c>
      <c r="F440" s="75">
        <f>95000+425000+160000+725862</f>
        <v>1405862</v>
      </c>
      <c r="G440" s="76"/>
      <c r="H440" s="76"/>
      <c r="I440" s="77"/>
    </row>
    <row r="441" spans="1:9" ht="33" customHeight="1" x14ac:dyDescent="0.3">
      <c r="A441" s="11">
        <v>456100000</v>
      </c>
      <c r="B441" s="46"/>
      <c r="C441" s="71" t="s">
        <v>31</v>
      </c>
      <c r="D441" s="71"/>
      <c r="E441" s="28">
        <f t="shared" si="14"/>
        <v>100000</v>
      </c>
      <c r="F441" s="75">
        <v>100000</v>
      </c>
      <c r="G441" s="76"/>
      <c r="H441" s="76"/>
      <c r="I441" s="77"/>
    </row>
    <row r="442" spans="1:9" ht="33" customHeight="1" x14ac:dyDescent="0.3">
      <c r="A442" s="11">
        <v>458200000</v>
      </c>
      <c r="B442" s="46"/>
      <c r="C442" s="71" t="s">
        <v>22</v>
      </c>
      <c r="D442" s="71"/>
      <c r="E442" s="28">
        <f>F442</f>
        <v>125000</v>
      </c>
      <c r="F442" s="75">
        <v>125000</v>
      </c>
      <c r="G442" s="76"/>
      <c r="H442" s="76"/>
      <c r="I442" s="77"/>
    </row>
    <row r="443" spans="1:9" ht="33" customHeight="1" x14ac:dyDescent="0.3">
      <c r="A443" s="11">
        <v>458400000</v>
      </c>
      <c r="B443" s="46"/>
      <c r="C443" s="71" t="s">
        <v>24</v>
      </c>
      <c r="D443" s="71"/>
      <c r="E443" s="28">
        <f t="shared" si="14"/>
        <v>200000</v>
      </c>
      <c r="F443" s="75">
        <f>100000+100000</f>
        <v>200000</v>
      </c>
      <c r="G443" s="76"/>
      <c r="H443" s="76"/>
      <c r="I443" s="77"/>
    </row>
    <row r="444" spans="1:9" ht="33" customHeight="1" x14ac:dyDescent="0.3">
      <c r="A444" s="11">
        <v>459100000</v>
      </c>
      <c r="B444" s="46"/>
      <c r="C444" s="71" t="s">
        <v>30</v>
      </c>
      <c r="D444" s="71"/>
      <c r="E444" s="28">
        <f t="shared" si="14"/>
        <v>103710</v>
      </c>
      <c r="F444" s="75">
        <f>50000+53710</f>
        <v>103710</v>
      </c>
      <c r="G444" s="76"/>
      <c r="H444" s="76"/>
      <c r="I444" s="77"/>
    </row>
    <row r="445" spans="1:9" ht="33" customHeight="1" x14ac:dyDescent="0.3">
      <c r="A445" s="11">
        <v>450200000</v>
      </c>
      <c r="B445" s="46"/>
      <c r="C445" s="71" t="s">
        <v>34</v>
      </c>
      <c r="D445" s="71"/>
      <c r="E445" s="28">
        <f>F445</f>
        <v>50000</v>
      </c>
      <c r="F445" s="75">
        <v>50000</v>
      </c>
      <c r="G445" s="76"/>
      <c r="H445" s="76"/>
      <c r="I445" s="77"/>
    </row>
    <row r="446" spans="1:9" ht="33" customHeight="1" x14ac:dyDescent="0.3">
      <c r="A446" s="11">
        <v>451900000</v>
      </c>
      <c r="B446" s="46"/>
      <c r="C446" s="71" t="s">
        <v>44</v>
      </c>
      <c r="D446" s="71"/>
      <c r="E446" s="28">
        <f t="shared" si="14"/>
        <v>250862</v>
      </c>
      <c r="F446" s="75">
        <v>250862</v>
      </c>
      <c r="G446" s="76"/>
      <c r="H446" s="76"/>
      <c r="I446" s="77"/>
    </row>
    <row r="447" spans="1:9" ht="33" customHeight="1" x14ac:dyDescent="0.3">
      <c r="A447" s="11">
        <v>450300000</v>
      </c>
      <c r="B447" s="46"/>
      <c r="C447" s="71" t="s">
        <v>36</v>
      </c>
      <c r="D447" s="71"/>
      <c r="E447" s="28">
        <f t="shared" si="14"/>
        <v>53800</v>
      </c>
      <c r="F447" s="75">
        <v>53800</v>
      </c>
      <c r="G447" s="76"/>
      <c r="H447" s="76"/>
      <c r="I447" s="77"/>
    </row>
    <row r="448" spans="1:9" ht="33" customHeight="1" x14ac:dyDescent="0.3">
      <c r="A448" s="11">
        <v>453600000</v>
      </c>
      <c r="B448" s="46"/>
      <c r="C448" s="71" t="s">
        <v>55</v>
      </c>
      <c r="D448" s="71"/>
      <c r="E448" s="28">
        <f>F448</f>
        <v>65000</v>
      </c>
      <c r="F448" s="75">
        <f>60000+5000</f>
        <v>65000</v>
      </c>
      <c r="G448" s="76"/>
      <c r="H448" s="76"/>
      <c r="I448" s="77"/>
    </row>
    <row r="449" spans="1:9" ht="33" customHeight="1" x14ac:dyDescent="0.3">
      <c r="A449" s="11">
        <v>455600000</v>
      </c>
      <c r="B449" s="46"/>
      <c r="C449" s="71" t="s">
        <v>68</v>
      </c>
      <c r="D449" s="71"/>
      <c r="E449" s="28">
        <f>F449</f>
        <v>55000</v>
      </c>
      <c r="F449" s="75">
        <f>55000</f>
        <v>55000</v>
      </c>
      <c r="G449" s="76"/>
      <c r="H449" s="76"/>
      <c r="I449" s="77"/>
    </row>
    <row r="450" spans="1:9" ht="33" customHeight="1" x14ac:dyDescent="0.3">
      <c r="A450" s="11">
        <v>453500000</v>
      </c>
      <c r="B450" s="46"/>
      <c r="C450" s="71" t="s">
        <v>6</v>
      </c>
      <c r="D450" s="71"/>
      <c r="E450" s="28">
        <f>F450</f>
        <v>20000</v>
      </c>
      <c r="F450" s="75">
        <v>20000</v>
      </c>
      <c r="G450" s="76"/>
      <c r="H450" s="76"/>
      <c r="I450" s="77"/>
    </row>
    <row r="451" spans="1:9" ht="33" customHeight="1" x14ac:dyDescent="0.3">
      <c r="A451" s="11" t="s">
        <v>181</v>
      </c>
      <c r="B451" s="46"/>
      <c r="C451" s="71" t="s">
        <v>182</v>
      </c>
      <c r="D451" s="71"/>
      <c r="E451" s="28">
        <f t="shared" si="14"/>
        <v>100000</v>
      </c>
      <c r="F451" s="75">
        <v>100000</v>
      </c>
      <c r="G451" s="76"/>
      <c r="H451" s="76"/>
      <c r="I451" s="77"/>
    </row>
    <row r="452" spans="1:9" ht="33" customHeight="1" x14ac:dyDescent="0.3">
      <c r="A452" s="11">
        <v>457900000</v>
      </c>
      <c r="B452" s="46"/>
      <c r="C452" s="71" t="s">
        <v>20</v>
      </c>
      <c r="D452" s="71"/>
      <c r="E452" s="28">
        <f>F452</f>
        <v>164000</v>
      </c>
      <c r="F452" s="75">
        <f>164000</f>
        <v>164000</v>
      </c>
      <c r="G452" s="76"/>
      <c r="H452" s="76"/>
      <c r="I452" s="77"/>
    </row>
    <row r="453" spans="1:9" ht="33" customHeight="1" x14ac:dyDescent="0.3">
      <c r="A453" s="11">
        <v>451600000</v>
      </c>
      <c r="B453" s="46"/>
      <c r="C453" s="71" t="s">
        <v>43</v>
      </c>
      <c r="D453" s="71"/>
      <c r="E453" s="28">
        <f t="shared" si="14"/>
        <v>280400</v>
      </c>
      <c r="F453" s="75">
        <v>280400</v>
      </c>
      <c r="G453" s="76"/>
      <c r="H453" s="76"/>
      <c r="I453" s="77"/>
    </row>
    <row r="454" spans="1:9" ht="33" customHeight="1" x14ac:dyDescent="0.3">
      <c r="A454" s="11">
        <v>456500000</v>
      </c>
      <c r="B454" s="46"/>
      <c r="C454" s="71" t="s">
        <v>9</v>
      </c>
      <c r="D454" s="71"/>
      <c r="E454" s="28">
        <f t="shared" si="14"/>
        <v>146000</v>
      </c>
      <c r="F454" s="75">
        <v>146000</v>
      </c>
      <c r="G454" s="76"/>
      <c r="H454" s="76"/>
      <c r="I454" s="77"/>
    </row>
    <row r="455" spans="1:9" ht="33" customHeight="1" x14ac:dyDescent="0.3">
      <c r="A455" s="11">
        <v>451200000</v>
      </c>
      <c r="B455" s="46"/>
      <c r="C455" s="71" t="s">
        <v>40</v>
      </c>
      <c r="D455" s="71"/>
      <c r="E455" s="28">
        <f t="shared" si="14"/>
        <v>12500</v>
      </c>
      <c r="F455" s="75">
        <v>12500</v>
      </c>
      <c r="G455" s="76"/>
      <c r="H455" s="76"/>
      <c r="I455" s="77"/>
    </row>
    <row r="456" spans="1:9" ht="33" customHeight="1" x14ac:dyDescent="0.3">
      <c r="A456" s="11" t="s">
        <v>213</v>
      </c>
      <c r="B456" s="46"/>
      <c r="C456" s="71" t="s">
        <v>214</v>
      </c>
      <c r="D456" s="71"/>
      <c r="E456" s="28">
        <f t="shared" si="14"/>
        <v>30000</v>
      </c>
      <c r="F456" s="75">
        <v>30000</v>
      </c>
      <c r="G456" s="76"/>
      <c r="H456" s="76"/>
      <c r="I456" s="77"/>
    </row>
    <row r="457" spans="1:9" ht="33" customHeight="1" x14ac:dyDescent="0.3">
      <c r="A457" s="11">
        <v>456800000</v>
      </c>
      <c r="B457" s="46"/>
      <c r="C457" s="71" t="s">
        <v>12</v>
      </c>
      <c r="D457" s="71"/>
      <c r="E457" s="28">
        <f t="shared" si="14"/>
        <v>75000</v>
      </c>
      <c r="F457" s="75">
        <v>75000</v>
      </c>
      <c r="G457" s="76"/>
      <c r="H457" s="76"/>
      <c r="I457" s="77"/>
    </row>
    <row r="458" spans="1:9" ht="33" customHeight="1" x14ac:dyDescent="0.3">
      <c r="A458" s="11">
        <v>455800000</v>
      </c>
      <c r="B458" s="46"/>
      <c r="C458" s="71" t="s">
        <v>70</v>
      </c>
      <c r="D458" s="71"/>
      <c r="E458" s="28">
        <f t="shared" si="14"/>
        <v>20000</v>
      </c>
      <c r="F458" s="75">
        <v>20000</v>
      </c>
      <c r="G458" s="76"/>
      <c r="H458" s="76"/>
      <c r="I458" s="77"/>
    </row>
    <row r="459" spans="1:9" ht="33" customHeight="1" x14ac:dyDescent="0.3">
      <c r="A459" s="11">
        <v>458800000</v>
      </c>
      <c r="B459" s="46"/>
      <c r="C459" s="71" t="s">
        <v>28</v>
      </c>
      <c r="D459" s="71"/>
      <c r="E459" s="28">
        <f>F459</f>
        <v>5000</v>
      </c>
      <c r="F459" s="75">
        <f>5000</f>
        <v>5000</v>
      </c>
      <c r="G459" s="76"/>
      <c r="H459" s="76"/>
      <c r="I459" s="77"/>
    </row>
    <row r="460" spans="1:9" ht="33" customHeight="1" x14ac:dyDescent="0.3">
      <c r="A460" s="11">
        <v>452400000</v>
      </c>
      <c r="B460" s="46"/>
      <c r="C460" s="71" t="s">
        <v>48</v>
      </c>
      <c r="D460" s="71"/>
      <c r="E460" s="28">
        <f t="shared" si="14"/>
        <v>30000</v>
      </c>
      <c r="F460" s="75">
        <v>30000</v>
      </c>
      <c r="G460" s="76"/>
      <c r="H460" s="76"/>
      <c r="I460" s="77"/>
    </row>
    <row r="461" spans="1:9" ht="33" customHeight="1" x14ac:dyDescent="0.3">
      <c r="A461" s="11">
        <v>455500000</v>
      </c>
      <c r="B461" s="46"/>
      <c r="C461" s="71" t="s">
        <v>67</v>
      </c>
      <c r="D461" s="71"/>
      <c r="E461" s="28">
        <f t="shared" si="14"/>
        <v>40000</v>
      </c>
      <c r="F461" s="75">
        <v>40000</v>
      </c>
      <c r="G461" s="76"/>
      <c r="H461" s="76"/>
      <c r="I461" s="77"/>
    </row>
    <row r="462" spans="1:9" s="2" customFormat="1" ht="27.75" customHeight="1" x14ac:dyDescent="0.3">
      <c r="A462" s="11">
        <v>452500000</v>
      </c>
      <c r="B462" s="46"/>
      <c r="C462" s="71" t="s">
        <v>49</v>
      </c>
      <c r="D462" s="71"/>
      <c r="E462" s="28">
        <f>F462</f>
        <v>77000</v>
      </c>
      <c r="F462" s="75">
        <v>77000</v>
      </c>
      <c r="G462" s="76"/>
      <c r="H462" s="76"/>
      <c r="I462" s="77"/>
    </row>
    <row r="463" spans="1:9" s="2" customFormat="1" ht="33" customHeight="1" x14ac:dyDescent="0.3">
      <c r="A463" s="11">
        <v>452600000</v>
      </c>
      <c r="B463" s="46"/>
      <c r="C463" s="71" t="s">
        <v>50</v>
      </c>
      <c r="D463" s="71"/>
      <c r="E463" s="28">
        <f t="shared" si="14"/>
        <v>70000</v>
      </c>
      <c r="F463" s="75">
        <f>50000+20000</f>
        <v>70000</v>
      </c>
      <c r="G463" s="76"/>
      <c r="H463" s="76"/>
      <c r="I463" s="77"/>
    </row>
    <row r="464" spans="1:9" s="2" customFormat="1" ht="27.75" customHeight="1" x14ac:dyDescent="0.3">
      <c r="A464" s="11">
        <v>452700000</v>
      </c>
      <c r="B464" s="46"/>
      <c r="C464" s="71" t="s">
        <v>51</v>
      </c>
      <c r="D464" s="71"/>
      <c r="E464" s="28">
        <f>F464</f>
        <v>132155</v>
      </c>
      <c r="F464" s="75">
        <f>80000+52155</f>
        <v>132155</v>
      </c>
      <c r="G464" s="76"/>
      <c r="H464" s="76"/>
      <c r="I464" s="77"/>
    </row>
    <row r="465" spans="1:9" s="2" customFormat="1" ht="33" customHeight="1" x14ac:dyDescent="0.3">
      <c r="A465" s="11">
        <v>455200000</v>
      </c>
      <c r="B465" s="46"/>
      <c r="C465" s="71" t="s">
        <v>64</v>
      </c>
      <c r="D465" s="71"/>
      <c r="E465" s="28">
        <f t="shared" si="14"/>
        <v>200000</v>
      </c>
      <c r="F465" s="75">
        <v>200000</v>
      </c>
      <c r="G465" s="76"/>
      <c r="H465" s="76"/>
      <c r="I465" s="77"/>
    </row>
    <row r="466" spans="1:9" s="6" customFormat="1" ht="40.5" customHeight="1" x14ac:dyDescent="0.3">
      <c r="A466" s="83"/>
      <c r="B466" s="83"/>
      <c r="C466" s="70" t="s">
        <v>248</v>
      </c>
      <c r="D466" s="70"/>
      <c r="E466" s="19"/>
      <c r="F466" s="84"/>
      <c r="G466" s="84"/>
      <c r="H466" s="84"/>
      <c r="I466" s="84"/>
    </row>
    <row r="467" spans="1:9" s="6" customFormat="1" ht="45.75" customHeight="1" x14ac:dyDescent="0.3">
      <c r="A467" s="17" t="s">
        <v>249</v>
      </c>
      <c r="B467" s="18">
        <v>9770</v>
      </c>
      <c r="C467" s="86" t="s">
        <v>250</v>
      </c>
      <c r="D467" s="86"/>
      <c r="E467" s="27">
        <f>SUM(E468:E469)</f>
        <v>96800000</v>
      </c>
      <c r="F467" s="87" t="s">
        <v>116</v>
      </c>
      <c r="G467" s="87"/>
      <c r="H467" s="87"/>
      <c r="I467" s="87"/>
    </row>
    <row r="468" spans="1:9" s="6" customFormat="1" ht="33" customHeight="1" x14ac:dyDescent="0.3">
      <c r="A468" s="11">
        <v>457100000</v>
      </c>
      <c r="B468" s="46"/>
      <c r="C468" s="71" t="s">
        <v>111</v>
      </c>
      <c r="D468" s="71"/>
      <c r="E468" s="28">
        <f>F468</f>
        <v>68000000</v>
      </c>
      <c r="F468" s="75">
        <v>68000000</v>
      </c>
      <c r="G468" s="76"/>
      <c r="H468" s="76"/>
      <c r="I468" s="77"/>
    </row>
    <row r="469" spans="1:9" ht="33" customHeight="1" x14ac:dyDescent="0.3">
      <c r="A469" s="11">
        <v>457810000</v>
      </c>
      <c r="B469" s="46"/>
      <c r="C469" s="71" t="s">
        <v>19</v>
      </c>
      <c r="D469" s="71"/>
      <c r="E469" s="28">
        <f>F469</f>
        <v>28800000</v>
      </c>
      <c r="F469" s="75">
        <f>28800000</f>
        <v>28800000</v>
      </c>
      <c r="G469" s="76"/>
      <c r="H469" s="76"/>
      <c r="I469" s="77"/>
    </row>
    <row r="470" spans="1:9" s="4" customFormat="1" ht="39.75" customHeight="1" x14ac:dyDescent="0.3">
      <c r="A470" s="69"/>
      <c r="B470" s="69"/>
      <c r="C470" s="70" t="s">
        <v>141</v>
      </c>
      <c r="D470" s="70"/>
      <c r="E470" s="24"/>
      <c r="F470" s="84"/>
      <c r="G470" s="84"/>
      <c r="H470" s="84"/>
      <c r="I470" s="84"/>
    </row>
    <row r="471" spans="1:9" ht="47.25" customHeight="1" x14ac:dyDescent="0.3">
      <c r="A471" s="43" t="s">
        <v>82</v>
      </c>
      <c r="B471" s="18">
        <v>9770</v>
      </c>
      <c r="C471" s="86" t="s">
        <v>247</v>
      </c>
      <c r="D471" s="86"/>
      <c r="E471" s="27">
        <f>E472</f>
        <v>21407000</v>
      </c>
      <c r="F471" s="98" t="s">
        <v>116</v>
      </c>
      <c r="G471" s="99"/>
      <c r="H471" s="99"/>
      <c r="I471" s="100"/>
    </row>
    <row r="472" spans="1:9" ht="33" customHeight="1" x14ac:dyDescent="0.3">
      <c r="A472" s="11">
        <v>457600000</v>
      </c>
      <c r="B472" s="46"/>
      <c r="C472" s="71" t="s">
        <v>17</v>
      </c>
      <c r="D472" s="71"/>
      <c r="E472" s="28">
        <f>F472</f>
        <v>21407000</v>
      </c>
      <c r="F472" s="75">
        <f>21407000</f>
        <v>21407000</v>
      </c>
      <c r="G472" s="76"/>
      <c r="H472" s="76"/>
      <c r="I472" s="77"/>
    </row>
    <row r="473" spans="1:9" s="6" customFormat="1" ht="40.5" customHeight="1" x14ac:dyDescent="0.3">
      <c r="A473" s="83"/>
      <c r="B473" s="83"/>
      <c r="C473" s="70" t="s">
        <v>143</v>
      </c>
      <c r="D473" s="70"/>
      <c r="E473" s="24"/>
      <c r="F473" s="84"/>
      <c r="G473" s="84"/>
      <c r="H473" s="84"/>
      <c r="I473" s="84"/>
    </row>
    <row r="474" spans="1:9" s="6" customFormat="1" ht="94.5" customHeight="1" x14ac:dyDescent="0.3">
      <c r="A474" s="17" t="s">
        <v>115</v>
      </c>
      <c r="B474" s="18">
        <v>9770</v>
      </c>
      <c r="C474" s="86" t="s">
        <v>131</v>
      </c>
      <c r="D474" s="86"/>
      <c r="E474" s="27">
        <f>E475</f>
        <v>300000000</v>
      </c>
      <c r="F474" s="87" t="s">
        <v>116</v>
      </c>
      <c r="G474" s="87"/>
      <c r="H474" s="87"/>
      <c r="I474" s="87"/>
    </row>
    <row r="475" spans="1:9" s="6" customFormat="1" ht="33" customHeight="1" x14ac:dyDescent="0.3">
      <c r="A475" s="11">
        <v>457810000</v>
      </c>
      <c r="B475" s="46"/>
      <c r="C475" s="71" t="s">
        <v>19</v>
      </c>
      <c r="D475" s="71"/>
      <c r="E475" s="28">
        <f>F475</f>
        <v>300000000</v>
      </c>
      <c r="F475" s="75">
        <f>160000000+140000000</f>
        <v>300000000</v>
      </c>
      <c r="G475" s="76"/>
      <c r="H475" s="76"/>
      <c r="I475" s="77"/>
    </row>
    <row r="476" spans="1:9" s="6" customFormat="1" ht="40.5" customHeight="1" x14ac:dyDescent="0.3">
      <c r="A476" s="83"/>
      <c r="B476" s="83"/>
      <c r="C476" s="70" t="s">
        <v>143</v>
      </c>
      <c r="D476" s="70"/>
      <c r="E476" s="24"/>
      <c r="F476" s="84"/>
      <c r="G476" s="84"/>
      <c r="H476" s="84"/>
      <c r="I476" s="84"/>
    </row>
    <row r="477" spans="1:9" s="6" customFormat="1" ht="45.75" customHeight="1" x14ac:dyDescent="0.3">
      <c r="A477" s="17" t="s">
        <v>115</v>
      </c>
      <c r="B477" s="18">
        <v>9770</v>
      </c>
      <c r="C477" s="86" t="s">
        <v>247</v>
      </c>
      <c r="D477" s="86"/>
      <c r="E477" s="27">
        <f>E478</f>
        <v>12500000</v>
      </c>
      <c r="F477" s="87" t="s">
        <v>116</v>
      </c>
      <c r="G477" s="87"/>
      <c r="H477" s="87"/>
      <c r="I477" s="87"/>
    </row>
    <row r="478" spans="1:9" s="6" customFormat="1" ht="31.5" customHeight="1" x14ac:dyDescent="0.3">
      <c r="A478" s="11">
        <v>457600000</v>
      </c>
      <c r="B478" s="46"/>
      <c r="C478" s="71" t="s">
        <v>17</v>
      </c>
      <c r="D478" s="71"/>
      <c r="E478" s="28">
        <f>F478</f>
        <v>12500000</v>
      </c>
      <c r="F478" s="75">
        <v>12500000</v>
      </c>
      <c r="G478" s="76"/>
      <c r="H478" s="76"/>
      <c r="I478" s="77"/>
    </row>
    <row r="479" spans="1:9" s="4" customFormat="1" ht="39" customHeight="1" x14ac:dyDescent="0.3">
      <c r="A479" s="83"/>
      <c r="B479" s="83"/>
      <c r="C479" s="70" t="s">
        <v>142</v>
      </c>
      <c r="D479" s="70"/>
      <c r="E479" s="24"/>
      <c r="F479" s="84"/>
      <c r="G479" s="84"/>
      <c r="H479" s="84"/>
      <c r="I479" s="84"/>
    </row>
    <row r="480" spans="1:9" s="6" customFormat="1" ht="45.75" customHeight="1" x14ac:dyDescent="0.3">
      <c r="A480" s="17" t="s">
        <v>255</v>
      </c>
      <c r="B480" s="18">
        <v>9770</v>
      </c>
      <c r="C480" s="86" t="s">
        <v>247</v>
      </c>
      <c r="D480" s="86"/>
      <c r="E480" s="27">
        <f>SUM(E481:E483)</f>
        <v>237338495</v>
      </c>
      <c r="F480" s="87" t="s">
        <v>116</v>
      </c>
      <c r="G480" s="87"/>
      <c r="H480" s="87"/>
      <c r="I480" s="87"/>
    </row>
    <row r="481" spans="1:9" s="6" customFormat="1" ht="31.5" customHeight="1" x14ac:dyDescent="0.3">
      <c r="A481" s="11">
        <v>457600000</v>
      </c>
      <c r="B481" s="46"/>
      <c r="C481" s="71" t="s">
        <v>17</v>
      </c>
      <c r="D481" s="71"/>
      <c r="E481" s="28">
        <f>F481</f>
        <v>100375057</v>
      </c>
      <c r="F481" s="75">
        <f>30375057+70000000</f>
        <v>100375057</v>
      </c>
      <c r="G481" s="76"/>
      <c r="H481" s="76"/>
      <c r="I481" s="77"/>
    </row>
    <row r="482" spans="1:9" ht="33" customHeight="1" x14ac:dyDescent="0.3">
      <c r="A482" s="11">
        <v>457100000</v>
      </c>
      <c r="B482" s="46"/>
      <c r="C482" s="71" t="s">
        <v>111</v>
      </c>
      <c r="D482" s="71"/>
      <c r="E482" s="28">
        <f>F482</f>
        <v>120963438</v>
      </c>
      <c r="F482" s="75">
        <f>64963438+26000000+30000000</f>
        <v>120963438</v>
      </c>
      <c r="G482" s="76"/>
      <c r="H482" s="76"/>
      <c r="I482" s="77"/>
    </row>
    <row r="483" spans="1:9" s="6" customFormat="1" ht="33" customHeight="1" x14ac:dyDescent="0.3">
      <c r="A483" s="11">
        <v>458900000</v>
      </c>
      <c r="B483" s="46"/>
      <c r="C483" s="71" t="s">
        <v>29</v>
      </c>
      <c r="D483" s="71"/>
      <c r="E483" s="28">
        <f>F483</f>
        <v>16000000</v>
      </c>
      <c r="F483" s="75">
        <f>16000000</f>
        <v>16000000</v>
      </c>
      <c r="G483" s="76"/>
      <c r="H483" s="76"/>
      <c r="I483" s="77"/>
    </row>
    <row r="484" spans="1:9" s="6" customFormat="1" ht="57" customHeight="1" x14ac:dyDescent="0.3">
      <c r="A484" s="83"/>
      <c r="B484" s="83"/>
      <c r="C484" s="70" t="s">
        <v>280</v>
      </c>
      <c r="D484" s="70"/>
      <c r="E484" s="19"/>
      <c r="F484" s="84"/>
      <c r="G484" s="84"/>
      <c r="H484" s="84"/>
      <c r="I484" s="84"/>
    </row>
    <row r="485" spans="1:9" s="6" customFormat="1" ht="58.5" customHeight="1" x14ac:dyDescent="0.3">
      <c r="A485" s="17">
        <v>2019770</v>
      </c>
      <c r="B485" s="18">
        <v>9770</v>
      </c>
      <c r="C485" s="86" t="s">
        <v>281</v>
      </c>
      <c r="D485" s="86"/>
      <c r="E485" s="27">
        <f>SUM(E486:E509)</f>
        <v>1200000</v>
      </c>
      <c r="F485" s="87" t="s">
        <v>282</v>
      </c>
      <c r="G485" s="87"/>
      <c r="H485" s="87"/>
      <c r="I485" s="87"/>
    </row>
    <row r="486" spans="1:9" ht="33" customHeight="1" x14ac:dyDescent="0.3">
      <c r="A486" s="11">
        <v>456100000</v>
      </c>
      <c r="B486" s="46"/>
      <c r="C486" s="71" t="s">
        <v>31</v>
      </c>
      <c r="D486" s="71"/>
      <c r="E486" s="28">
        <f>F486</f>
        <v>50000</v>
      </c>
      <c r="F486" s="75">
        <f>50000</f>
        <v>50000</v>
      </c>
      <c r="G486" s="76"/>
      <c r="H486" s="76"/>
      <c r="I486" s="77"/>
    </row>
    <row r="487" spans="1:9" ht="33" customHeight="1" x14ac:dyDescent="0.3">
      <c r="A487" s="11">
        <v>458500000</v>
      </c>
      <c r="B487" s="46"/>
      <c r="C487" s="71" t="s">
        <v>25</v>
      </c>
      <c r="D487" s="71"/>
      <c r="E487" s="28">
        <f>F487</f>
        <v>50000</v>
      </c>
      <c r="F487" s="75">
        <f>50000</f>
        <v>50000</v>
      </c>
      <c r="G487" s="76"/>
      <c r="H487" s="76"/>
      <c r="I487" s="77"/>
    </row>
    <row r="488" spans="1:9" s="6" customFormat="1" ht="33" customHeight="1" x14ac:dyDescent="0.3">
      <c r="A488" s="11">
        <v>450300000</v>
      </c>
      <c r="B488" s="46"/>
      <c r="C488" s="71" t="s">
        <v>36</v>
      </c>
      <c r="D488" s="71"/>
      <c r="E488" s="28">
        <f>F488</f>
        <v>50000</v>
      </c>
      <c r="F488" s="75">
        <f>50000</f>
        <v>50000</v>
      </c>
      <c r="G488" s="76"/>
      <c r="H488" s="76"/>
      <c r="I488" s="77"/>
    </row>
    <row r="489" spans="1:9" s="6" customFormat="1" ht="33" customHeight="1" x14ac:dyDescent="0.3">
      <c r="A489" s="11">
        <v>456300000</v>
      </c>
      <c r="B489" s="46"/>
      <c r="C489" s="71" t="s">
        <v>7</v>
      </c>
      <c r="D489" s="71"/>
      <c r="E489" s="28">
        <f t="shared" ref="E489:E509" si="15">F489</f>
        <v>50000</v>
      </c>
      <c r="F489" s="75">
        <f>50000</f>
        <v>50000</v>
      </c>
      <c r="G489" s="76"/>
      <c r="H489" s="76"/>
      <c r="I489" s="77"/>
    </row>
    <row r="490" spans="1:9" ht="33" customHeight="1" x14ac:dyDescent="0.3">
      <c r="A490" s="11">
        <v>453000000</v>
      </c>
      <c r="B490" s="46"/>
      <c r="C490" s="71" t="s">
        <v>53</v>
      </c>
      <c r="D490" s="71"/>
      <c r="E490" s="28">
        <f t="shared" si="15"/>
        <v>50000</v>
      </c>
      <c r="F490" s="75">
        <f>50000</f>
        <v>50000</v>
      </c>
      <c r="G490" s="76"/>
      <c r="H490" s="76"/>
      <c r="I490" s="77"/>
    </row>
    <row r="491" spans="1:9" ht="33" customHeight="1" x14ac:dyDescent="0.3">
      <c r="A491" s="11">
        <v>450700000</v>
      </c>
      <c r="B491" s="46"/>
      <c r="C491" s="71" t="s">
        <v>38</v>
      </c>
      <c r="D491" s="71"/>
      <c r="E491" s="28">
        <f t="shared" si="15"/>
        <v>50000</v>
      </c>
      <c r="F491" s="75">
        <f>50000</f>
        <v>50000</v>
      </c>
      <c r="G491" s="76"/>
      <c r="H491" s="76"/>
      <c r="I491" s="77"/>
    </row>
    <row r="492" spans="1:9" s="6" customFormat="1" ht="33" customHeight="1" x14ac:dyDescent="0.3">
      <c r="A492" s="11">
        <v>457500000</v>
      </c>
      <c r="B492" s="46"/>
      <c r="C492" s="71" t="s">
        <v>16</v>
      </c>
      <c r="D492" s="71"/>
      <c r="E492" s="28">
        <f t="shared" si="15"/>
        <v>50000</v>
      </c>
      <c r="F492" s="75">
        <f>50000</f>
        <v>50000</v>
      </c>
      <c r="G492" s="76"/>
      <c r="H492" s="76"/>
      <c r="I492" s="77"/>
    </row>
    <row r="493" spans="1:9" s="6" customFormat="1" ht="33" customHeight="1" x14ac:dyDescent="0.3">
      <c r="A493" s="11" t="s">
        <v>164</v>
      </c>
      <c r="B493" s="46"/>
      <c r="C493" s="71" t="s">
        <v>165</v>
      </c>
      <c r="D493" s="71"/>
      <c r="E493" s="28">
        <f t="shared" si="15"/>
        <v>50000</v>
      </c>
      <c r="F493" s="75">
        <f>50000</f>
        <v>50000</v>
      </c>
      <c r="G493" s="76"/>
      <c r="H493" s="76"/>
      <c r="I493" s="77"/>
    </row>
    <row r="494" spans="1:9" ht="33" customHeight="1" x14ac:dyDescent="0.3">
      <c r="A494" s="11" t="s">
        <v>203</v>
      </c>
      <c r="B494" s="46"/>
      <c r="C494" s="71" t="s">
        <v>204</v>
      </c>
      <c r="D494" s="71"/>
      <c r="E494" s="28">
        <f t="shared" si="15"/>
        <v>50000</v>
      </c>
      <c r="F494" s="75">
        <f>50000</f>
        <v>50000</v>
      </c>
      <c r="G494" s="76"/>
      <c r="H494" s="76"/>
      <c r="I494" s="77"/>
    </row>
    <row r="495" spans="1:9" ht="33" customHeight="1" x14ac:dyDescent="0.3">
      <c r="A495" s="11">
        <v>455700000</v>
      </c>
      <c r="B495" s="46"/>
      <c r="C495" s="71" t="s">
        <v>69</v>
      </c>
      <c r="D495" s="71"/>
      <c r="E495" s="28">
        <f t="shared" si="15"/>
        <v>50000</v>
      </c>
      <c r="F495" s="75">
        <f>50000</f>
        <v>50000</v>
      </c>
      <c r="G495" s="76"/>
      <c r="H495" s="76"/>
      <c r="I495" s="77"/>
    </row>
    <row r="496" spans="1:9" ht="33" customHeight="1" x14ac:dyDescent="0.3">
      <c r="A496" s="11">
        <v>455300000</v>
      </c>
      <c r="B496" s="46"/>
      <c r="C496" s="71" t="s">
        <v>65</v>
      </c>
      <c r="D496" s="71"/>
      <c r="E496" s="28">
        <f t="shared" si="15"/>
        <v>50000</v>
      </c>
      <c r="F496" s="75">
        <f>50000</f>
        <v>50000</v>
      </c>
      <c r="G496" s="76"/>
      <c r="H496" s="76"/>
      <c r="I496" s="77"/>
    </row>
    <row r="497" spans="1:9" ht="33" customHeight="1" x14ac:dyDescent="0.3">
      <c r="A497" s="11" t="s">
        <v>207</v>
      </c>
      <c r="B497" s="46"/>
      <c r="C497" s="71" t="s">
        <v>208</v>
      </c>
      <c r="D497" s="71"/>
      <c r="E497" s="28">
        <f t="shared" si="15"/>
        <v>50000</v>
      </c>
      <c r="F497" s="75">
        <f>50000</f>
        <v>50000</v>
      </c>
      <c r="G497" s="76"/>
      <c r="H497" s="76"/>
      <c r="I497" s="77"/>
    </row>
    <row r="498" spans="1:9" ht="33" customHeight="1" x14ac:dyDescent="0.3">
      <c r="A498" s="11">
        <v>454400000</v>
      </c>
      <c r="B498" s="46"/>
      <c r="C498" s="71" t="s">
        <v>87</v>
      </c>
      <c r="D498" s="71"/>
      <c r="E498" s="28">
        <f t="shared" si="15"/>
        <v>50000</v>
      </c>
      <c r="F498" s="75">
        <f>50000</f>
        <v>50000</v>
      </c>
      <c r="G498" s="76"/>
      <c r="H498" s="76"/>
      <c r="I498" s="77"/>
    </row>
    <row r="499" spans="1:9" ht="33" customHeight="1" x14ac:dyDescent="0.3">
      <c r="A499" s="11">
        <v>450900000</v>
      </c>
      <c r="B499" s="46"/>
      <c r="C499" s="71" t="s">
        <v>39</v>
      </c>
      <c r="D499" s="71"/>
      <c r="E499" s="28">
        <f t="shared" si="15"/>
        <v>50000</v>
      </c>
      <c r="F499" s="75">
        <f>50000</f>
        <v>50000</v>
      </c>
      <c r="G499" s="76"/>
      <c r="H499" s="76"/>
      <c r="I499" s="77"/>
    </row>
    <row r="500" spans="1:9" ht="33" customHeight="1" x14ac:dyDescent="0.3">
      <c r="A500" s="11" t="s">
        <v>172</v>
      </c>
      <c r="B500" s="46"/>
      <c r="C500" s="71" t="s">
        <v>171</v>
      </c>
      <c r="D500" s="71"/>
      <c r="E500" s="28">
        <f t="shared" si="15"/>
        <v>50000</v>
      </c>
      <c r="F500" s="75">
        <f>50000</f>
        <v>50000</v>
      </c>
      <c r="G500" s="76"/>
      <c r="H500" s="76"/>
      <c r="I500" s="77"/>
    </row>
    <row r="501" spans="1:9" ht="33" customHeight="1" x14ac:dyDescent="0.3">
      <c r="A501" s="11">
        <v>456600000</v>
      </c>
      <c r="B501" s="46"/>
      <c r="C501" s="71" t="s">
        <v>10</v>
      </c>
      <c r="D501" s="71"/>
      <c r="E501" s="28">
        <f t="shared" si="15"/>
        <v>50000</v>
      </c>
      <c r="F501" s="75">
        <f>50000</f>
        <v>50000</v>
      </c>
      <c r="G501" s="76"/>
      <c r="H501" s="76"/>
      <c r="I501" s="77"/>
    </row>
    <row r="502" spans="1:9" ht="33" customHeight="1" x14ac:dyDescent="0.3">
      <c r="A502" s="11">
        <v>455900000</v>
      </c>
      <c r="B502" s="46"/>
      <c r="C502" s="71" t="s">
        <v>71</v>
      </c>
      <c r="D502" s="71"/>
      <c r="E502" s="28">
        <f t="shared" si="15"/>
        <v>50000</v>
      </c>
      <c r="F502" s="75">
        <f>50000</f>
        <v>50000</v>
      </c>
      <c r="G502" s="76"/>
      <c r="H502" s="76"/>
      <c r="I502" s="77"/>
    </row>
    <row r="503" spans="1:9" ht="33" customHeight="1" x14ac:dyDescent="0.3">
      <c r="A503" s="11">
        <v>458700000</v>
      </c>
      <c r="B503" s="46"/>
      <c r="C503" s="71" t="s">
        <v>27</v>
      </c>
      <c r="D503" s="71"/>
      <c r="E503" s="28">
        <f t="shared" si="15"/>
        <v>50000</v>
      </c>
      <c r="F503" s="75">
        <f>50000</f>
        <v>50000</v>
      </c>
      <c r="G503" s="76"/>
      <c r="H503" s="76"/>
      <c r="I503" s="77"/>
    </row>
    <row r="504" spans="1:9" ht="33" customHeight="1" x14ac:dyDescent="0.3">
      <c r="A504" s="11">
        <v>452400000</v>
      </c>
      <c r="B504" s="46"/>
      <c r="C504" s="71" t="s">
        <v>48</v>
      </c>
      <c r="D504" s="71"/>
      <c r="E504" s="28">
        <f t="shared" si="15"/>
        <v>50000</v>
      </c>
      <c r="F504" s="75">
        <f>50000</f>
        <v>50000</v>
      </c>
      <c r="G504" s="76"/>
      <c r="H504" s="76"/>
      <c r="I504" s="77"/>
    </row>
    <row r="505" spans="1:9" s="2" customFormat="1" ht="33" customHeight="1" x14ac:dyDescent="0.3">
      <c r="A505" s="11">
        <v>459000000</v>
      </c>
      <c r="B505" s="46"/>
      <c r="C505" s="71" t="s">
        <v>110</v>
      </c>
      <c r="D505" s="71"/>
      <c r="E505" s="28">
        <f t="shared" si="15"/>
        <v>50000</v>
      </c>
      <c r="F505" s="75">
        <f>50000</f>
        <v>50000</v>
      </c>
      <c r="G505" s="76"/>
      <c r="H505" s="76"/>
      <c r="I505" s="77"/>
    </row>
    <row r="506" spans="1:9" s="2" customFormat="1" ht="33" customHeight="1" x14ac:dyDescent="0.3">
      <c r="A506" s="11" t="s">
        <v>231</v>
      </c>
      <c r="B506" s="46"/>
      <c r="C506" s="71" t="s">
        <v>232</v>
      </c>
      <c r="D506" s="71"/>
      <c r="E506" s="28">
        <f>F506</f>
        <v>50000</v>
      </c>
      <c r="F506" s="75">
        <f>50000</f>
        <v>50000</v>
      </c>
      <c r="G506" s="76"/>
      <c r="H506" s="76"/>
      <c r="I506" s="77"/>
    </row>
    <row r="507" spans="1:9" s="2" customFormat="1" ht="33" customHeight="1" x14ac:dyDescent="0.3">
      <c r="A507" s="11">
        <v>455400000</v>
      </c>
      <c r="B507" s="46"/>
      <c r="C507" s="71" t="s">
        <v>66</v>
      </c>
      <c r="D507" s="71"/>
      <c r="E507" s="28">
        <f>F507</f>
        <v>50000</v>
      </c>
      <c r="F507" s="75">
        <f>50000</f>
        <v>50000</v>
      </c>
      <c r="G507" s="76"/>
      <c r="H507" s="76"/>
      <c r="I507" s="77"/>
    </row>
    <row r="508" spans="1:9" s="2" customFormat="1" ht="33" customHeight="1" x14ac:dyDescent="0.3">
      <c r="A508" s="11">
        <v>457000000</v>
      </c>
      <c r="B508" s="46"/>
      <c r="C508" s="71" t="s">
        <v>13</v>
      </c>
      <c r="D508" s="71"/>
      <c r="E508" s="28">
        <f t="shared" si="15"/>
        <v>50000</v>
      </c>
      <c r="F508" s="75">
        <f>50000</f>
        <v>50000</v>
      </c>
      <c r="G508" s="76"/>
      <c r="H508" s="76"/>
      <c r="I508" s="77"/>
    </row>
    <row r="509" spans="1:9" s="2" customFormat="1" ht="33" customHeight="1" x14ac:dyDescent="0.3">
      <c r="A509" s="11" t="s">
        <v>237</v>
      </c>
      <c r="B509" s="46"/>
      <c r="C509" s="71" t="s">
        <v>238</v>
      </c>
      <c r="D509" s="71"/>
      <c r="E509" s="28">
        <f t="shared" si="15"/>
        <v>50000</v>
      </c>
      <c r="F509" s="75">
        <f>50000</f>
        <v>50000</v>
      </c>
      <c r="G509" s="76"/>
      <c r="H509" s="76"/>
      <c r="I509" s="77"/>
    </row>
    <row r="510" spans="1:9" s="6" customFormat="1" ht="38.25" customHeight="1" x14ac:dyDescent="0.3">
      <c r="A510" s="83"/>
      <c r="B510" s="83"/>
      <c r="C510" s="70" t="s">
        <v>146</v>
      </c>
      <c r="D510" s="70"/>
      <c r="E510" s="24"/>
      <c r="F510" s="84"/>
      <c r="G510" s="84"/>
      <c r="H510" s="84"/>
      <c r="I510" s="84"/>
    </row>
    <row r="511" spans="1:9" s="6" customFormat="1" ht="63" customHeight="1" x14ac:dyDescent="0.3">
      <c r="A511" s="17" t="s">
        <v>97</v>
      </c>
      <c r="B511" s="18">
        <v>9800</v>
      </c>
      <c r="C511" s="86" t="s">
        <v>95</v>
      </c>
      <c r="D511" s="86"/>
      <c r="E511" s="27">
        <f>E512</f>
        <v>668905336</v>
      </c>
      <c r="F511" s="87" t="s">
        <v>112</v>
      </c>
      <c r="G511" s="87"/>
      <c r="H511" s="87"/>
      <c r="I511" s="87"/>
    </row>
    <row r="512" spans="1:9" s="6" customFormat="1" ht="33" customHeight="1" x14ac:dyDescent="0.3">
      <c r="A512" s="42">
        <v>9900000000</v>
      </c>
      <c r="B512" s="42"/>
      <c r="C512" s="72" t="s">
        <v>1</v>
      </c>
      <c r="D512" s="73"/>
      <c r="E512" s="28">
        <f>F512</f>
        <v>668905336</v>
      </c>
      <c r="F512" s="82">
        <f>170000000+2011420+3289420+10655060+11585880+10000000+4000000+135000000+13123020+11882040+1308300+595860+180660+2450160+60000000-5916656+510000+80000000+1320000+1150000+105000+155000000+3000000+650000+1028017+250000-15000000-25000000+827155+15000000+250000+9500000+10000000+150000</f>
        <v>668905336</v>
      </c>
      <c r="G512" s="82"/>
      <c r="H512" s="82"/>
      <c r="I512" s="82"/>
    </row>
    <row r="513" spans="1:11" s="6" customFormat="1" ht="38.25" customHeight="1" x14ac:dyDescent="0.3">
      <c r="A513" s="83"/>
      <c r="B513" s="83"/>
      <c r="C513" s="70" t="s">
        <v>146</v>
      </c>
      <c r="D513" s="70"/>
      <c r="E513" s="24"/>
      <c r="F513" s="84"/>
      <c r="G513" s="84"/>
      <c r="H513" s="84"/>
      <c r="I513" s="84"/>
    </row>
    <row r="514" spans="1:11" ht="57.75" customHeight="1" x14ac:dyDescent="0.3">
      <c r="A514" s="17" t="s">
        <v>97</v>
      </c>
      <c r="B514" s="18">
        <v>9800</v>
      </c>
      <c r="C514" s="86" t="s">
        <v>95</v>
      </c>
      <c r="D514" s="86"/>
      <c r="E514" s="27">
        <f>E515</f>
        <v>212050000</v>
      </c>
      <c r="F514" s="87" t="s">
        <v>319</v>
      </c>
      <c r="G514" s="87"/>
      <c r="H514" s="87"/>
      <c r="I514" s="87"/>
    </row>
    <row r="515" spans="1:11" s="6" customFormat="1" ht="33" customHeight="1" x14ac:dyDescent="0.3">
      <c r="A515" s="42">
        <v>9900000000</v>
      </c>
      <c r="B515" s="42"/>
      <c r="C515" s="72" t="s">
        <v>1</v>
      </c>
      <c r="D515" s="73"/>
      <c r="E515" s="28">
        <f>F515</f>
        <v>212050000</v>
      </c>
      <c r="F515" s="82">
        <f>50000000+29950000+2000000+55000000+7000000+27000000+1000000+30000000+12000000-19900000+8000000+10000000</f>
        <v>212050000</v>
      </c>
      <c r="G515" s="82"/>
      <c r="H515" s="82"/>
      <c r="I515" s="82"/>
    </row>
    <row r="516" spans="1:11" s="6" customFormat="1" ht="38.25" customHeight="1" x14ac:dyDescent="0.3">
      <c r="A516" s="83"/>
      <c r="B516" s="83"/>
      <c r="C516" s="70" t="s">
        <v>146</v>
      </c>
      <c r="D516" s="70"/>
      <c r="E516" s="24"/>
      <c r="F516" s="84"/>
      <c r="G516" s="84"/>
      <c r="H516" s="84"/>
      <c r="I516" s="84"/>
    </row>
    <row r="517" spans="1:11" ht="57.75" customHeight="1" x14ac:dyDescent="0.3">
      <c r="A517" s="17" t="s">
        <v>97</v>
      </c>
      <c r="B517" s="18">
        <v>9800</v>
      </c>
      <c r="C517" s="86" t="s">
        <v>95</v>
      </c>
      <c r="D517" s="86"/>
      <c r="E517" s="27">
        <f>E518</f>
        <v>150000</v>
      </c>
      <c r="F517" s="87" t="s">
        <v>307</v>
      </c>
      <c r="G517" s="87"/>
      <c r="H517" s="87"/>
      <c r="I517" s="87"/>
    </row>
    <row r="518" spans="1:11" s="6" customFormat="1" ht="33" customHeight="1" x14ac:dyDescent="0.3">
      <c r="A518" s="42">
        <v>9900000000</v>
      </c>
      <c r="B518" s="42"/>
      <c r="C518" s="72" t="s">
        <v>1</v>
      </c>
      <c r="D518" s="73"/>
      <c r="E518" s="28">
        <f>F518</f>
        <v>150000</v>
      </c>
      <c r="F518" s="82">
        <f>150000</f>
        <v>150000</v>
      </c>
      <c r="G518" s="82"/>
      <c r="H518" s="82"/>
      <c r="I518" s="82"/>
    </row>
    <row r="519" spans="1:11" s="6" customFormat="1" ht="39" customHeight="1" x14ac:dyDescent="0.3">
      <c r="A519" s="83"/>
      <c r="B519" s="83"/>
      <c r="C519" s="70" t="s">
        <v>257</v>
      </c>
      <c r="D519" s="70"/>
      <c r="E519" s="24"/>
      <c r="F519" s="84"/>
      <c r="G519" s="84"/>
      <c r="H519" s="84"/>
      <c r="I519" s="84"/>
    </row>
    <row r="520" spans="1:11" s="6" customFormat="1" ht="33" customHeight="1" x14ac:dyDescent="0.3">
      <c r="A520" s="109" t="s">
        <v>256</v>
      </c>
      <c r="B520" s="111">
        <v>9800</v>
      </c>
      <c r="C520" s="102" t="s">
        <v>95</v>
      </c>
      <c r="D520" s="103"/>
      <c r="E520" s="128">
        <f>E522</f>
        <v>43567200</v>
      </c>
      <c r="F520" s="87" t="s">
        <v>116</v>
      </c>
      <c r="G520" s="87"/>
      <c r="H520" s="87"/>
      <c r="I520" s="87"/>
    </row>
    <row r="521" spans="1:11" s="6" customFormat="1" ht="32.25" customHeight="1" x14ac:dyDescent="0.3">
      <c r="A521" s="110"/>
      <c r="B521" s="112"/>
      <c r="C521" s="104"/>
      <c r="D521" s="105"/>
      <c r="E521" s="129"/>
      <c r="F521" s="87" t="s">
        <v>258</v>
      </c>
      <c r="G521" s="87"/>
      <c r="H521" s="87"/>
      <c r="I521" s="87"/>
    </row>
    <row r="522" spans="1:11" s="6" customFormat="1" ht="33" customHeight="1" x14ac:dyDescent="0.3">
      <c r="A522" s="42">
        <v>9900000000</v>
      </c>
      <c r="B522" s="42"/>
      <c r="C522" s="72" t="s">
        <v>1</v>
      </c>
      <c r="D522" s="73"/>
      <c r="E522" s="28">
        <f>F522</f>
        <v>43567200</v>
      </c>
      <c r="F522" s="82">
        <f>15567200+1000000+3000000+24000000</f>
        <v>43567200</v>
      </c>
      <c r="G522" s="82"/>
      <c r="H522" s="82"/>
      <c r="I522" s="82"/>
      <c r="K522" s="29"/>
    </row>
    <row r="523" spans="1:11" s="6" customFormat="1" ht="39" customHeight="1" x14ac:dyDescent="0.3">
      <c r="A523" s="83"/>
      <c r="B523" s="83"/>
      <c r="C523" s="70" t="s">
        <v>147</v>
      </c>
      <c r="D523" s="70"/>
      <c r="E523" s="24"/>
      <c r="F523" s="84"/>
      <c r="G523" s="84"/>
      <c r="H523" s="84"/>
      <c r="I523" s="84"/>
    </row>
    <row r="524" spans="1:11" s="6" customFormat="1" ht="77.25" customHeight="1" x14ac:dyDescent="0.3">
      <c r="A524" s="17" t="s">
        <v>96</v>
      </c>
      <c r="B524" s="18">
        <v>9800</v>
      </c>
      <c r="C524" s="86" t="s">
        <v>95</v>
      </c>
      <c r="D524" s="86"/>
      <c r="E524" s="27">
        <f>E525</f>
        <v>43141945</v>
      </c>
      <c r="F524" s="87" t="s">
        <v>320</v>
      </c>
      <c r="G524" s="87"/>
      <c r="H524" s="87"/>
      <c r="I524" s="87"/>
    </row>
    <row r="525" spans="1:11" s="6" customFormat="1" ht="33" customHeight="1" x14ac:dyDescent="0.3">
      <c r="A525" s="42">
        <v>9900000000</v>
      </c>
      <c r="B525" s="42"/>
      <c r="C525" s="72" t="s">
        <v>1</v>
      </c>
      <c r="D525" s="73"/>
      <c r="E525" s="28">
        <f>F525</f>
        <v>43141945</v>
      </c>
      <c r="F525" s="82">
        <f>6440000+4400655+32301290</f>
        <v>43141945</v>
      </c>
      <c r="G525" s="82"/>
      <c r="H525" s="82"/>
      <c r="I525" s="82"/>
    </row>
    <row r="526" spans="1:11" s="4" customFormat="1" ht="40.5" customHeight="1" x14ac:dyDescent="0.3">
      <c r="A526" s="83"/>
      <c r="B526" s="83"/>
      <c r="C526" s="70" t="s">
        <v>138</v>
      </c>
      <c r="D526" s="70"/>
      <c r="E526" s="24"/>
      <c r="F526" s="84"/>
      <c r="G526" s="84"/>
      <c r="H526" s="84"/>
      <c r="I526" s="84"/>
    </row>
    <row r="527" spans="1:11" ht="69.75" customHeight="1" x14ac:dyDescent="0.3">
      <c r="A527" s="17" t="s">
        <v>98</v>
      </c>
      <c r="B527" s="18">
        <v>9800</v>
      </c>
      <c r="C527" s="86" t="s">
        <v>95</v>
      </c>
      <c r="D527" s="86"/>
      <c r="E527" s="27">
        <f>E528</f>
        <v>1950000</v>
      </c>
      <c r="F527" s="87" t="s">
        <v>321</v>
      </c>
      <c r="G527" s="87"/>
      <c r="H527" s="87"/>
      <c r="I527" s="87"/>
    </row>
    <row r="528" spans="1:11" s="6" customFormat="1" ht="33" customHeight="1" x14ac:dyDescent="0.3">
      <c r="A528" s="42">
        <v>9900000000</v>
      </c>
      <c r="B528" s="42"/>
      <c r="C528" s="72" t="s">
        <v>1</v>
      </c>
      <c r="D528" s="73"/>
      <c r="E528" s="28">
        <f>F528</f>
        <v>1950000</v>
      </c>
      <c r="F528" s="75">
        <f>700000+1150000+100000</f>
        <v>1950000</v>
      </c>
      <c r="G528" s="76"/>
      <c r="H528" s="76"/>
      <c r="I528" s="77"/>
    </row>
    <row r="529" spans="1:11" s="7" customFormat="1" ht="26.25" customHeight="1" x14ac:dyDescent="0.3">
      <c r="A529" s="18" t="s">
        <v>93</v>
      </c>
      <c r="B529" s="18" t="s">
        <v>93</v>
      </c>
      <c r="C529" s="127" t="s">
        <v>108</v>
      </c>
      <c r="D529" s="127"/>
      <c r="E529" s="32">
        <f>E530+E531</f>
        <v>4434261422.4099998</v>
      </c>
      <c r="F529" s="126"/>
      <c r="G529" s="126"/>
      <c r="H529" s="126"/>
      <c r="I529" s="126"/>
      <c r="J529" s="8"/>
      <c r="K529" s="20"/>
    </row>
    <row r="530" spans="1:11" s="7" customFormat="1" ht="26.25" customHeight="1" x14ac:dyDescent="0.3">
      <c r="A530" s="18" t="s">
        <v>93</v>
      </c>
      <c r="B530" s="18" t="s">
        <v>93</v>
      </c>
      <c r="C530" s="127" t="s">
        <v>76</v>
      </c>
      <c r="D530" s="127"/>
      <c r="E530" s="32">
        <f>E13+E45+E141+E232+E323+E412+E415+E418+E421+E424+E314+E167+E57+E409+E19+E204+E152+E209+E117+E399+E402+E225+E16</f>
        <v>2445160838.4099998</v>
      </c>
      <c r="F530" s="126"/>
      <c r="G530" s="126"/>
      <c r="H530" s="126"/>
      <c r="I530" s="126"/>
      <c r="J530" s="8"/>
      <c r="K530" s="20"/>
    </row>
    <row r="531" spans="1:11" s="7" customFormat="1" ht="26.25" customHeight="1" x14ac:dyDescent="0.3">
      <c r="A531" s="18" t="s">
        <v>93</v>
      </c>
      <c r="B531" s="18" t="s">
        <v>93</v>
      </c>
      <c r="C531" s="127" t="s">
        <v>77</v>
      </c>
      <c r="D531" s="127"/>
      <c r="E531" s="32">
        <f>E467+E431+E474+E511+E514+E524+E527+E480+E520+E485+E436+E517+E477+E428+E471</f>
        <v>1989100584</v>
      </c>
      <c r="F531" s="126"/>
      <c r="G531" s="126"/>
      <c r="H531" s="126"/>
      <c r="I531" s="126"/>
      <c r="J531" s="8"/>
      <c r="K531" s="20"/>
    </row>
    <row r="532" spans="1:11" ht="48.75" customHeight="1" x14ac:dyDescent="0.3"/>
    <row r="533" spans="1:11" s="9" customFormat="1" ht="32.25" customHeight="1" x14ac:dyDescent="0.4">
      <c r="A533" s="95" t="s">
        <v>136</v>
      </c>
      <c r="B533" s="95"/>
      <c r="C533" s="95"/>
      <c r="D533" s="96"/>
      <c r="E533" s="96"/>
      <c r="F533" s="134" t="s">
        <v>331</v>
      </c>
      <c r="G533" s="134"/>
      <c r="H533" s="134"/>
      <c r="I533" s="134"/>
    </row>
    <row r="535" spans="1:11" x14ac:dyDescent="0.3">
      <c r="B535" s="1"/>
      <c r="E535" s="10"/>
      <c r="F535" s="10"/>
      <c r="G535" s="10"/>
      <c r="H535" s="10"/>
      <c r="I535" s="10"/>
    </row>
  </sheetData>
  <sheetProtection selectLockedCells="1" selectUnlockedCells="1"/>
  <customSheetViews>
    <customSheetView guid="{4644111A-82C5-489B-9E53-EB80700E535E}" scale="60" showPageBreaks="1" zeroValues="0" printArea="1" view="pageBreakPreview" topLeftCell="A169">
      <selection activeCell="C174" sqref="C174:D174"/>
      <rowBreaks count="6" manualBreakCount="6">
        <brk id="77" max="8" man="1"/>
        <brk id="110" max="8" man="1"/>
        <brk id="136" max="8" man="1"/>
        <brk id="501" max="8" man="1"/>
        <brk id="516" max="8" man="1"/>
        <brk id="543" max="8" man="1"/>
      </rowBreaks>
      <pageMargins left="0.98425196850393704" right="0.59055118110236227" top="0.59055118110236227" bottom="0.59055118110236227" header="0.39370078740157483" footer="0.39370078740157483"/>
      <pageSetup paperSize="9" scale="40" firstPageNumber="7" fitToHeight="500" orientation="landscape" useFirstPageNumber="1" horizontalDpi="300" verticalDpi="300" r:id="rId1"/>
      <headerFooter differentFirst="1" alignWithMargins="0">
        <oddHeader>&amp;C&amp;P</oddHeader>
        <firstHeader>&amp;C&amp;P</firstHeader>
      </headerFooter>
    </customSheetView>
    <customSheetView guid="{879B1E14-7CA4-4463-9C42-4E2586107585}" scale="60" showPageBreaks="1" zeroValues="0" printArea="1" view="pageBreakPreview" topLeftCell="A175">
      <selection activeCell="E184" sqref="E184"/>
      <rowBreaks count="6" manualBreakCount="6">
        <brk id="77" max="8" man="1"/>
        <brk id="110" max="8" man="1"/>
        <brk id="136" max="8" man="1"/>
        <brk id="501" max="8" man="1"/>
        <brk id="516" max="8" man="1"/>
        <brk id="543" max="8" man="1"/>
      </rowBreaks>
      <pageMargins left="0.98425196850393704" right="0.59055118110236227" top="0.59055118110236227" bottom="0.59055118110236227" header="0.39370078740157483" footer="0.39370078740157483"/>
      <pageSetup paperSize="9" scale="40" firstPageNumber="7" fitToHeight="500" orientation="landscape" useFirstPageNumber="1" horizontalDpi="300" verticalDpi="300" r:id="rId2"/>
      <headerFooter differentFirst="1" alignWithMargins="0">
        <oddHeader>&amp;C&amp;P</oddHeader>
        <firstHeader>&amp;C&amp;P</firstHeader>
      </headerFooter>
    </customSheetView>
    <customSheetView guid="{C9A6F9B2-0582-46B8-BF5A-2A8D2AC01FE2}" scale="60" showPageBreaks="1" zeroValues="0" printArea="1" view="pageBreakPreview" topLeftCell="A106">
      <selection activeCell="E184" sqref="E184"/>
      <rowBreaks count="6" manualBreakCount="6">
        <brk id="77" max="8" man="1"/>
        <brk id="110" max="8" man="1"/>
        <brk id="136" max="8" man="1"/>
        <brk id="501" max="8" man="1"/>
        <brk id="516" max="8" man="1"/>
        <brk id="543" max="8" man="1"/>
      </rowBreaks>
      <pageMargins left="0.98425196850393704" right="0.59055118110236227" top="0.59055118110236227" bottom="0.59055118110236227" header="0.39370078740157483" footer="0.39370078740157483"/>
      <pageSetup paperSize="9" scale="40" firstPageNumber="7" fitToHeight="500" orientation="landscape" useFirstPageNumber="1" horizontalDpi="300" verticalDpi="300" r:id="rId3"/>
      <headerFooter differentFirst="1" alignWithMargins="0">
        <oddHeader>&amp;C&amp;P</oddHeader>
        <firstHeader>&amp;C&amp;P</firstHeader>
      </headerFooter>
    </customSheetView>
  </customSheetViews>
  <mergeCells count="1199">
    <mergeCell ref="C459:D459"/>
    <mergeCell ref="F459:I459"/>
    <mergeCell ref="A225:A226"/>
    <mergeCell ref="B225:B226"/>
    <mergeCell ref="C225:D226"/>
    <mergeCell ref="E225:E226"/>
    <mergeCell ref="F225:G225"/>
    <mergeCell ref="H225:I225"/>
    <mergeCell ref="F224:I224"/>
    <mergeCell ref="F114:G114"/>
    <mergeCell ref="H82:I82"/>
    <mergeCell ref="C111:D111"/>
    <mergeCell ref="F372:I372"/>
    <mergeCell ref="C351:D351"/>
    <mergeCell ref="F350:I350"/>
    <mergeCell ref="F343:I343"/>
    <mergeCell ref="F246:I246"/>
    <mergeCell ref="C247:D247"/>
    <mergeCell ref="F247:I247"/>
    <mergeCell ref="F447:I447"/>
    <mergeCell ref="C451:D451"/>
    <mergeCell ref="F451:I451"/>
    <mergeCell ref="F213:I213"/>
    <mergeCell ref="C222:D222"/>
    <mergeCell ref="F215:I215"/>
    <mergeCell ref="C216:D216"/>
    <mergeCell ref="C393:D393"/>
    <mergeCell ref="F391:I391"/>
    <mergeCell ref="C389:D389"/>
    <mergeCell ref="C354:D354"/>
    <mergeCell ref="F366:I366"/>
    <mergeCell ref="C358:D358"/>
    <mergeCell ref="C16:D16"/>
    <mergeCell ref="F16:I16"/>
    <mergeCell ref="C17:D17"/>
    <mergeCell ref="F17:I17"/>
    <mergeCell ref="F71:G71"/>
    <mergeCell ref="F109:G109"/>
    <mergeCell ref="F98:G98"/>
    <mergeCell ref="C107:D107"/>
    <mergeCell ref="F107:G107"/>
    <mergeCell ref="H71:I71"/>
    <mergeCell ref="F106:G106"/>
    <mergeCell ref="H106:I106"/>
    <mergeCell ref="F108:G108"/>
    <mergeCell ref="H108:I108"/>
    <mergeCell ref="F105:G105"/>
    <mergeCell ref="H105:I105"/>
    <mergeCell ref="A15:B15"/>
    <mergeCell ref="C15:D15"/>
    <mergeCell ref="F15:I15"/>
    <mergeCell ref="C70:D70"/>
    <mergeCell ref="F70:G70"/>
    <mergeCell ref="C72:D72"/>
    <mergeCell ref="F72:G72"/>
    <mergeCell ref="H72:I72"/>
    <mergeCell ref="C75:D75"/>
    <mergeCell ref="C76:D76"/>
    <mergeCell ref="F75:G75"/>
    <mergeCell ref="H75:I75"/>
    <mergeCell ref="F76:G76"/>
    <mergeCell ref="H76:I76"/>
    <mergeCell ref="C82:D82"/>
    <mergeCell ref="C84:D84"/>
    <mergeCell ref="H60:I60"/>
    <mergeCell ref="F61:G61"/>
    <mergeCell ref="H61:I61"/>
    <mergeCell ref="F62:G62"/>
    <mergeCell ref="H62:I62"/>
    <mergeCell ref="F63:G63"/>
    <mergeCell ref="F64:G64"/>
    <mergeCell ref="F102:G102"/>
    <mergeCell ref="H102:I102"/>
    <mergeCell ref="F104:G104"/>
    <mergeCell ref="H104:I104"/>
    <mergeCell ref="F101:G101"/>
    <mergeCell ref="C71:D71"/>
    <mergeCell ref="A470:B470"/>
    <mergeCell ref="C470:D470"/>
    <mergeCell ref="F470:I470"/>
    <mergeCell ref="C471:D471"/>
    <mergeCell ref="F471:I471"/>
    <mergeCell ref="H100:I100"/>
    <mergeCell ref="F82:G82"/>
    <mergeCell ref="H84:I84"/>
    <mergeCell ref="F79:G79"/>
    <mergeCell ref="H79:I79"/>
    <mergeCell ref="F80:G80"/>
    <mergeCell ref="H80:I80"/>
    <mergeCell ref="F66:G66"/>
    <mergeCell ref="F112:G112"/>
    <mergeCell ref="H112:I112"/>
    <mergeCell ref="F113:G113"/>
    <mergeCell ref="H113:I113"/>
    <mergeCell ref="F97:G97"/>
    <mergeCell ref="H107:I107"/>
    <mergeCell ref="C472:D472"/>
    <mergeCell ref="F472:I472"/>
    <mergeCell ref="A57:A58"/>
    <mergeCell ref="B57:B58"/>
    <mergeCell ref="C57:D58"/>
    <mergeCell ref="E57:E58"/>
    <mergeCell ref="F58:G58"/>
    <mergeCell ref="H58:I58"/>
    <mergeCell ref="C90:D90"/>
    <mergeCell ref="F90:G90"/>
    <mergeCell ref="H90:I90"/>
    <mergeCell ref="C99:D99"/>
    <mergeCell ref="F99:G99"/>
    <mergeCell ref="H99:I99"/>
    <mergeCell ref="C103:D103"/>
    <mergeCell ref="F103:G103"/>
    <mergeCell ref="H103:I103"/>
    <mergeCell ref="C437:D437"/>
    <mergeCell ref="F437:I437"/>
    <mergeCell ref="C449:D449"/>
    <mergeCell ref="H73:I73"/>
    <mergeCell ref="H70:I70"/>
    <mergeCell ref="F57:G57"/>
    <mergeCell ref="H57:I57"/>
    <mergeCell ref="F59:G59"/>
    <mergeCell ref="H59:I59"/>
    <mergeCell ref="F60:G60"/>
    <mergeCell ref="H109:I109"/>
    <mergeCell ref="F73:G73"/>
    <mergeCell ref="H97:I97"/>
    <mergeCell ref="H98:I98"/>
    <mergeCell ref="F100:G100"/>
    <mergeCell ref="F74:G74"/>
    <mergeCell ref="H74:I74"/>
    <mergeCell ref="F77:G77"/>
    <mergeCell ref="H77:I77"/>
    <mergeCell ref="F110:G110"/>
    <mergeCell ref="H110:I110"/>
    <mergeCell ref="F111:G111"/>
    <mergeCell ref="H111:I111"/>
    <mergeCell ref="F95:G95"/>
    <mergeCell ref="H95:I95"/>
    <mergeCell ref="F96:G96"/>
    <mergeCell ref="H96:I96"/>
    <mergeCell ref="C123:D123"/>
    <mergeCell ref="F123:I123"/>
    <mergeCell ref="C129:D129"/>
    <mergeCell ref="F129:I129"/>
    <mergeCell ref="C132:D132"/>
    <mergeCell ref="F132:I132"/>
    <mergeCell ref="C81:D81"/>
    <mergeCell ref="F81:G81"/>
    <mergeCell ref="H81:I81"/>
    <mergeCell ref="C83:D83"/>
    <mergeCell ref="F83:G83"/>
    <mergeCell ref="H83:I83"/>
    <mergeCell ref="H114:I114"/>
    <mergeCell ref="C195:D195"/>
    <mergeCell ref="F195:G195"/>
    <mergeCell ref="H195:I195"/>
    <mergeCell ref="C196:D196"/>
    <mergeCell ref="F196:G196"/>
    <mergeCell ref="A430:B430"/>
    <mergeCell ref="C432:D432"/>
    <mergeCell ref="A435:B435"/>
    <mergeCell ref="C419:D419"/>
    <mergeCell ref="F418:I418"/>
    <mergeCell ref="F419:I419"/>
    <mergeCell ref="A414:B414"/>
    <mergeCell ref="C408:D408"/>
    <mergeCell ref="F408:I408"/>
    <mergeCell ref="C409:D409"/>
    <mergeCell ref="F423:I423"/>
    <mergeCell ref="F177:G177"/>
    <mergeCell ref="H177:I177"/>
    <mergeCell ref="F199:G199"/>
    <mergeCell ref="F242:I242"/>
    <mergeCell ref="H200:I200"/>
    <mergeCell ref="A116:B116"/>
    <mergeCell ref="C116:D116"/>
    <mergeCell ref="F116:I116"/>
    <mergeCell ref="C117:D117"/>
    <mergeCell ref="F117:I117"/>
    <mergeCell ref="C118:D118"/>
    <mergeCell ref="A398:B398"/>
    <mergeCell ref="F243:I243"/>
    <mergeCell ref="C244:D244"/>
    <mergeCell ref="C327:D327"/>
    <mergeCell ref="F257:I257"/>
    <mergeCell ref="C258:D258"/>
    <mergeCell ref="F258:I258"/>
    <mergeCell ref="C259:D259"/>
    <mergeCell ref="F259:I259"/>
    <mergeCell ref="C260:D260"/>
    <mergeCell ref="C251:D251"/>
    <mergeCell ref="C337:D337"/>
    <mergeCell ref="C319:D319"/>
    <mergeCell ref="F308:I308"/>
    <mergeCell ref="C309:D309"/>
    <mergeCell ref="F312:I312"/>
    <mergeCell ref="F265:I265"/>
    <mergeCell ref="C266:D266"/>
    <mergeCell ref="C248:D248"/>
    <mergeCell ref="F327:I327"/>
    <mergeCell ref="C341:D341"/>
    <mergeCell ref="F352:I352"/>
    <mergeCell ref="C317:D317"/>
    <mergeCell ref="C316:D316"/>
    <mergeCell ref="F317:I317"/>
    <mergeCell ref="C287:D287"/>
    <mergeCell ref="C306:D306"/>
    <mergeCell ref="C303:D303"/>
    <mergeCell ref="F303:I303"/>
    <mergeCell ref="C366:D366"/>
    <mergeCell ref="F319:I319"/>
    <mergeCell ref="F323:I323"/>
    <mergeCell ref="C444:D444"/>
    <mergeCell ref="F444:I444"/>
    <mergeCell ref="C400:D400"/>
    <mergeCell ref="F400:I400"/>
    <mergeCell ref="C405:D405"/>
    <mergeCell ref="F405:I405"/>
    <mergeCell ref="C406:D406"/>
    <mergeCell ref="F406:I406"/>
    <mergeCell ref="C431:D431"/>
    <mergeCell ref="F416:I416"/>
    <mergeCell ref="F422:I422"/>
    <mergeCell ref="C421:D421"/>
    <mergeCell ref="F421:I421"/>
    <mergeCell ref="C436:D436"/>
    <mergeCell ref="F436:I436"/>
    <mergeCell ref="C438:D438"/>
    <mergeCell ref="F438:I438"/>
    <mergeCell ref="C439:D439"/>
    <mergeCell ref="F441:I441"/>
    <mergeCell ref="F425:I425"/>
    <mergeCell ref="C443:D443"/>
    <mergeCell ref="F443:I443"/>
    <mergeCell ref="F420:I420"/>
    <mergeCell ref="C506:D506"/>
    <mergeCell ref="C507:D507"/>
    <mergeCell ref="F506:I506"/>
    <mergeCell ref="F507:I507"/>
    <mergeCell ref="C503:D503"/>
    <mergeCell ref="F503:I503"/>
    <mergeCell ref="C504:D504"/>
    <mergeCell ref="F504:I504"/>
    <mergeCell ref="C505:D505"/>
    <mergeCell ref="F505:I505"/>
    <mergeCell ref="C493:D493"/>
    <mergeCell ref="F493:I493"/>
    <mergeCell ref="C494:D494"/>
    <mergeCell ref="F494:I494"/>
    <mergeCell ref="C495:D495"/>
    <mergeCell ref="F495:I495"/>
    <mergeCell ref="C496:D496"/>
    <mergeCell ref="F496:I496"/>
    <mergeCell ref="C497:D497"/>
    <mergeCell ref="F497:I497"/>
    <mergeCell ref="F498:I498"/>
    <mergeCell ref="C499:D499"/>
    <mergeCell ref="C501:D501"/>
    <mergeCell ref="F501:I501"/>
    <mergeCell ref="C502:D502"/>
    <mergeCell ref="F118:I118"/>
    <mergeCell ref="C119:D119"/>
    <mergeCell ref="F119:I119"/>
    <mergeCell ref="C120:D120"/>
    <mergeCell ref="F120:I120"/>
    <mergeCell ref="C121:D121"/>
    <mergeCell ref="F121:I121"/>
    <mergeCell ref="C122:D122"/>
    <mergeCell ref="F122:I122"/>
    <mergeCell ref="C124:D124"/>
    <mergeCell ref="F342:I342"/>
    <mergeCell ref="F182:G182"/>
    <mergeCell ref="C138:D138"/>
    <mergeCell ref="F138:I138"/>
    <mergeCell ref="C150:D150"/>
    <mergeCell ref="F143:I143"/>
    <mergeCell ref="F149:I149"/>
    <mergeCell ref="C339:D339"/>
    <mergeCell ref="F339:I339"/>
    <mergeCell ref="F320:I320"/>
    <mergeCell ref="F316:I316"/>
    <mergeCell ref="F318:I318"/>
    <mergeCell ref="F336:I336"/>
    <mergeCell ref="C155:D155"/>
    <mergeCell ref="C163:D163"/>
    <mergeCell ref="F163:I163"/>
    <mergeCell ref="C192:D192"/>
    <mergeCell ref="F183:G183"/>
    <mergeCell ref="H183:I183"/>
    <mergeCell ref="F314:I314"/>
    <mergeCell ref="C315:D315"/>
    <mergeCell ref="F315:I315"/>
    <mergeCell ref="C453:D453"/>
    <mergeCell ref="C62:D62"/>
    <mergeCell ref="F328:I328"/>
    <mergeCell ref="C491:D491"/>
    <mergeCell ref="F491:I491"/>
    <mergeCell ref="C492:D492"/>
    <mergeCell ref="F492:I492"/>
    <mergeCell ref="C347:D347"/>
    <mergeCell ref="F383:I383"/>
    <mergeCell ref="C386:D386"/>
    <mergeCell ref="F398:I398"/>
    <mergeCell ref="C164:D164"/>
    <mergeCell ref="F173:G173"/>
    <mergeCell ref="H173:I173"/>
    <mergeCell ref="H181:I181"/>
    <mergeCell ref="C182:D182"/>
    <mergeCell ref="F424:I424"/>
    <mergeCell ref="C446:D446"/>
    <mergeCell ref="F446:I446"/>
    <mergeCell ref="F433:I433"/>
    <mergeCell ref="F453:I453"/>
    <mergeCell ref="C152:D152"/>
    <mergeCell ref="H198:I198"/>
    <mergeCell ref="C401:D401"/>
    <mergeCell ref="F401:I401"/>
    <mergeCell ref="C402:D402"/>
    <mergeCell ref="F402:I402"/>
    <mergeCell ref="C403:D403"/>
    <mergeCell ref="F403:I403"/>
    <mergeCell ref="C404:D404"/>
    <mergeCell ref="F404:I404"/>
    <mergeCell ref="C414:D414"/>
    <mergeCell ref="C50:D50"/>
    <mergeCell ref="F50:I50"/>
    <mergeCell ref="C47:D47"/>
    <mergeCell ref="F47:I47"/>
    <mergeCell ref="C48:D48"/>
    <mergeCell ref="F48:I48"/>
    <mergeCell ref="C49:D49"/>
    <mergeCell ref="C217:D217"/>
    <mergeCell ref="F217:I217"/>
    <mergeCell ref="C77:D77"/>
    <mergeCell ref="C88:D88"/>
    <mergeCell ref="C218:D218"/>
    <mergeCell ref="F144:I144"/>
    <mergeCell ref="F146:I146"/>
    <mergeCell ref="C147:D147"/>
    <mergeCell ref="F126:I126"/>
    <mergeCell ref="C127:D127"/>
    <mergeCell ref="C139:D139"/>
    <mergeCell ref="F139:I139"/>
    <mergeCell ref="C136:D136"/>
    <mergeCell ref="F136:I136"/>
    <mergeCell ref="F130:I130"/>
    <mergeCell ref="C131:D131"/>
    <mergeCell ref="F131:I131"/>
    <mergeCell ref="F181:G181"/>
    <mergeCell ref="C178:D178"/>
    <mergeCell ref="F178:G178"/>
    <mergeCell ref="H178:I178"/>
    <mergeCell ref="F212:I212"/>
    <mergeCell ref="F115:G115"/>
    <mergeCell ref="H115:I115"/>
    <mergeCell ref="C128:D128"/>
    <mergeCell ref="F449:I449"/>
    <mergeCell ref="C452:D452"/>
    <mergeCell ref="F452:I452"/>
    <mergeCell ref="C407:D407"/>
    <mergeCell ref="C447:D447"/>
    <mergeCell ref="F152:I152"/>
    <mergeCell ref="F277:I277"/>
    <mergeCell ref="C278:D278"/>
    <mergeCell ref="F128:I128"/>
    <mergeCell ref="C135:D135"/>
    <mergeCell ref="F135:I135"/>
    <mergeCell ref="C223:D223"/>
    <mergeCell ref="C398:D398"/>
    <mergeCell ref="C133:D133"/>
    <mergeCell ref="F133:I133"/>
    <mergeCell ref="C134:D134"/>
    <mergeCell ref="F134:I134"/>
    <mergeCell ref="F147:I147"/>
    <mergeCell ref="F414:I414"/>
    <mergeCell ref="F412:I412"/>
    <mergeCell ref="C417:D417"/>
    <mergeCell ref="C199:D199"/>
    <mergeCell ref="C262:D262"/>
    <mergeCell ref="F262:I262"/>
    <mergeCell ref="C263:D263"/>
    <mergeCell ref="F263:I263"/>
    <mergeCell ref="C264:D264"/>
    <mergeCell ref="F264:I264"/>
    <mergeCell ref="C311:D311"/>
    <mergeCell ref="F311:I311"/>
    <mergeCell ref="F326:I326"/>
    <mergeCell ref="C130:D130"/>
    <mergeCell ref="H94:I94"/>
    <mergeCell ref="C108:D108"/>
    <mergeCell ref="C109:D109"/>
    <mergeCell ref="C110:D110"/>
    <mergeCell ref="C65:D65"/>
    <mergeCell ref="H63:I63"/>
    <mergeCell ref="C125:D125"/>
    <mergeCell ref="F125:I125"/>
    <mergeCell ref="C126:D126"/>
    <mergeCell ref="C144:D144"/>
    <mergeCell ref="C486:D486"/>
    <mergeCell ref="C145:D145"/>
    <mergeCell ref="F486:I486"/>
    <mergeCell ref="C487:D487"/>
    <mergeCell ref="C322:D322"/>
    <mergeCell ref="F337:I337"/>
    <mergeCell ref="F244:I244"/>
    <mergeCell ref="C245:D245"/>
    <mergeCell ref="F223:I223"/>
    <mergeCell ref="F363:I363"/>
    <mergeCell ref="C355:D355"/>
    <mergeCell ref="F362:I362"/>
    <mergeCell ref="C357:D357"/>
    <mergeCell ref="C353:D353"/>
    <mergeCell ref="C456:D456"/>
    <mergeCell ref="F456:I456"/>
    <mergeCell ref="C457:D457"/>
    <mergeCell ref="F457:I457"/>
    <mergeCell ref="F439:I439"/>
    <mergeCell ref="C440:D440"/>
    <mergeCell ref="F440:I440"/>
    <mergeCell ref="C441:D441"/>
    <mergeCell ref="F92:G92"/>
    <mergeCell ref="H92:I92"/>
    <mergeCell ref="F85:G85"/>
    <mergeCell ref="H85:I85"/>
    <mergeCell ref="F86:G86"/>
    <mergeCell ref="H86:I86"/>
    <mergeCell ref="F87:G87"/>
    <mergeCell ref="C51:D51"/>
    <mergeCell ref="F51:I51"/>
    <mergeCell ref="F124:I124"/>
    <mergeCell ref="F127:I127"/>
    <mergeCell ref="C56:D56"/>
    <mergeCell ref="C59:D59"/>
    <mergeCell ref="C60:D60"/>
    <mergeCell ref="H101:I101"/>
    <mergeCell ref="C115:D115"/>
    <mergeCell ref="C137:D137"/>
    <mergeCell ref="F137:I137"/>
    <mergeCell ref="C67:D67"/>
    <mergeCell ref="C68:D68"/>
    <mergeCell ref="H66:I66"/>
    <mergeCell ref="F67:G67"/>
    <mergeCell ref="H67:I67"/>
    <mergeCell ref="F68:G68"/>
    <mergeCell ref="H68:I68"/>
    <mergeCell ref="F69:G69"/>
    <mergeCell ref="H69:I69"/>
    <mergeCell ref="F78:G78"/>
    <mergeCell ref="H78:I78"/>
    <mergeCell ref="F93:G93"/>
    <mergeCell ref="H93:I93"/>
    <mergeCell ref="F94:G94"/>
    <mergeCell ref="H64:I64"/>
    <mergeCell ref="F65:G65"/>
    <mergeCell ref="H65:I65"/>
    <mergeCell ref="F84:G84"/>
    <mergeCell ref="C489:D489"/>
    <mergeCell ref="F489:I489"/>
    <mergeCell ref="F474:I474"/>
    <mergeCell ref="C475:D475"/>
    <mergeCell ref="C42:D42"/>
    <mergeCell ref="F42:I42"/>
    <mergeCell ref="C85:D85"/>
    <mergeCell ref="C74:D74"/>
    <mergeCell ref="C92:D92"/>
    <mergeCell ref="C43:D43"/>
    <mergeCell ref="F43:I43"/>
    <mergeCell ref="C66:D66"/>
    <mergeCell ref="F56:I56"/>
    <mergeCell ref="C73:D73"/>
    <mergeCell ref="C78:D78"/>
    <mergeCell ref="C80:D80"/>
    <mergeCell ref="C87:D87"/>
    <mergeCell ref="C54:D54"/>
    <mergeCell ref="F54:I54"/>
    <mergeCell ref="C55:D55"/>
    <mergeCell ref="H87:I87"/>
    <mergeCell ref="F88:G88"/>
    <mergeCell ref="H88:I88"/>
    <mergeCell ref="F89:G89"/>
    <mergeCell ref="H89:I89"/>
    <mergeCell ref="F91:G91"/>
    <mergeCell ref="H91:I91"/>
    <mergeCell ref="F487:I487"/>
    <mergeCell ref="F488:I488"/>
    <mergeCell ref="C461:D461"/>
    <mergeCell ref="F461:I461"/>
    <mergeCell ref="F499:I499"/>
    <mergeCell ref="C500:D500"/>
    <mergeCell ref="F500:I500"/>
    <mergeCell ref="F302:I302"/>
    <mergeCell ref="C318:D318"/>
    <mergeCell ref="F148:I148"/>
    <mergeCell ref="C86:D86"/>
    <mergeCell ref="C89:D89"/>
    <mergeCell ref="C490:D490"/>
    <mergeCell ref="F490:I490"/>
    <mergeCell ref="F53:I53"/>
    <mergeCell ref="C148:D148"/>
    <mergeCell ref="C97:D97"/>
    <mergeCell ref="C98:D98"/>
    <mergeCell ref="C101:D101"/>
    <mergeCell ref="C114:D114"/>
    <mergeCell ref="C102:D102"/>
    <mergeCell ref="C105:D105"/>
    <mergeCell ref="C91:D91"/>
    <mergeCell ref="C94:D94"/>
    <mergeCell ref="C95:D95"/>
    <mergeCell ref="C149:D149"/>
    <mergeCell ref="C100:D100"/>
    <mergeCell ref="C104:D104"/>
    <mergeCell ref="C93:D93"/>
    <mergeCell ref="C96:D96"/>
    <mergeCell ref="C106:D106"/>
    <mergeCell ref="C112:D112"/>
    <mergeCell ref="H176:I176"/>
    <mergeCell ref="A203:B203"/>
    <mergeCell ref="C203:D203"/>
    <mergeCell ref="F210:I210"/>
    <mergeCell ref="C211:D211"/>
    <mergeCell ref="F211:I211"/>
    <mergeCell ref="C212:D212"/>
    <mergeCell ref="F208:I208"/>
    <mergeCell ref="F209:I209"/>
    <mergeCell ref="C209:D209"/>
    <mergeCell ref="A208:B208"/>
    <mergeCell ref="C208:D208"/>
    <mergeCell ref="C210:D210"/>
    <mergeCell ref="F203:I203"/>
    <mergeCell ref="C206:D206"/>
    <mergeCell ref="F206:I206"/>
    <mergeCell ref="C207:D207"/>
    <mergeCell ref="F207:I207"/>
    <mergeCell ref="B520:B521"/>
    <mergeCell ref="C520:D521"/>
    <mergeCell ref="E520:E521"/>
    <mergeCell ref="F520:I520"/>
    <mergeCell ref="A479:B479"/>
    <mergeCell ref="C479:D479"/>
    <mergeCell ref="F479:I479"/>
    <mergeCell ref="C480:D480"/>
    <mergeCell ref="F480:I480"/>
    <mergeCell ref="C483:D483"/>
    <mergeCell ref="F483:I483"/>
    <mergeCell ref="A519:B519"/>
    <mergeCell ref="C519:D519"/>
    <mergeCell ref="F519:I519"/>
    <mergeCell ref="F475:I475"/>
    <mergeCell ref="F473:I473"/>
    <mergeCell ref="A520:A521"/>
    <mergeCell ref="A484:B484"/>
    <mergeCell ref="C484:D484"/>
    <mergeCell ref="F484:I484"/>
    <mergeCell ref="C485:D485"/>
    <mergeCell ref="F485:I485"/>
    <mergeCell ref="C488:D488"/>
    <mergeCell ref="A510:B510"/>
    <mergeCell ref="C510:D510"/>
    <mergeCell ref="F510:I510"/>
    <mergeCell ref="C482:D482"/>
    <mergeCell ref="F482:I482"/>
    <mergeCell ref="F508:I508"/>
    <mergeCell ref="C509:D509"/>
    <mergeCell ref="F509:I509"/>
    <mergeCell ref="C498:D498"/>
    <mergeCell ref="C179:D179"/>
    <mergeCell ref="F179:G179"/>
    <mergeCell ref="H179:I179"/>
    <mergeCell ref="C180:D180"/>
    <mergeCell ref="F180:G180"/>
    <mergeCell ref="C246:D246"/>
    <mergeCell ref="C256:D256"/>
    <mergeCell ref="F256:I256"/>
    <mergeCell ref="C257:D257"/>
    <mergeCell ref="F251:I251"/>
    <mergeCell ref="F260:I260"/>
    <mergeCell ref="C261:D261"/>
    <mergeCell ref="H189:I189"/>
    <mergeCell ref="C243:D243"/>
    <mergeCell ref="H182:I182"/>
    <mergeCell ref="F250:I250"/>
    <mergeCell ref="H187:I187"/>
    <mergeCell ref="C181:D181"/>
    <mergeCell ref="C237:D237"/>
    <mergeCell ref="C220:D220"/>
    <mergeCell ref="F220:I220"/>
    <mergeCell ref="C221:D221"/>
    <mergeCell ref="F354:I354"/>
    <mergeCell ref="C273:D273"/>
    <mergeCell ref="C274:D274"/>
    <mergeCell ref="F274:I274"/>
    <mergeCell ref="C275:D275"/>
    <mergeCell ref="C308:D308"/>
    <mergeCell ref="F322:I322"/>
    <mergeCell ref="F333:I333"/>
    <mergeCell ref="F332:I332"/>
    <mergeCell ref="F216:I216"/>
    <mergeCell ref="F218:I218"/>
    <mergeCell ref="F219:I219"/>
    <mergeCell ref="F221:I221"/>
    <mergeCell ref="F222:I222"/>
    <mergeCell ref="C219:D219"/>
    <mergeCell ref="C277:D277"/>
    <mergeCell ref="C190:D190"/>
    <mergeCell ref="F190:G190"/>
    <mergeCell ref="C234:D234"/>
    <mergeCell ref="F234:I234"/>
    <mergeCell ref="C235:D235"/>
    <mergeCell ref="C239:D239"/>
    <mergeCell ref="C323:D323"/>
    <mergeCell ref="F267:I267"/>
    <mergeCell ref="C279:D279"/>
    <mergeCell ref="F285:I285"/>
    <mergeCell ref="C286:D286"/>
    <mergeCell ref="F286:I286"/>
    <mergeCell ref="C473:D473"/>
    <mergeCell ref="F502:I502"/>
    <mergeCell ref="C338:D338"/>
    <mergeCell ref="F349:I349"/>
    <mergeCell ref="F341:I341"/>
    <mergeCell ref="F522:I522"/>
    <mergeCell ref="C513:D513"/>
    <mergeCell ref="C518:D518"/>
    <mergeCell ref="F518:I518"/>
    <mergeCell ref="F299:I299"/>
    <mergeCell ref="C298:D298"/>
    <mergeCell ref="F298:I298"/>
    <mergeCell ref="C272:D272"/>
    <mergeCell ref="F272:I272"/>
    <mergeCell ref="F278:I278"/>
    <mergeCell ref="C268:D268"/>
    <mergeCell ref="C361:D361"/>
    <mergeCell ref="F355:I355"/>
    <mergeCell ref="C360:D360"/>
    <mergeCell ref="C363:D363"/>
    <mergeCell ref="C365:D365"/>
    <mergeCell ref="C348:D348"/>
    <mergeCell ref="C344:D344"/>
    <mergeCell ref="C329:D329"/>
    <mergeCell ref="F331:I331"/>
    <mergeCell ref="C332:D332"/>
    <mergeCell ref="C331:D331"/>
    <mergeCell ref="F338:I338"/>
    <mergeCell ref="F356:I356"/>
    <mergeCell ref="F357:I357"/>
    <mergeCell ref="C356:D356"/>
    <mergeCell ref="C359:D359"/>
    <mergeCell ref="F531:I531"/>
    <mergeCell ref="F524:I524"/>
    <mergeCell ref="C511:D511"/>
    <mergeCell ref="F511:I511"/>
    <mergeCell ref="F514:I514"/>
    <mergeCell ref="F530:I530"/>
    <mergeCell ref="C525:D525"/>
    <mergeCell ref="F525:I525"/>
    <mergeCell ref="C524:D524"/>
    <mergeCell ref="C514:D514"/>
    <mergeCell ref="C515:D515"/>
    <mergeCell ref="C529:D529"/>
    <mergeCell ref="C530:D530"/>
    <mergeCell ref="F512:I512"/>
    <mergeCell ref="C512:D512"/>
    <mergeCell ref="F515:I515"/>
    <mergeCell ref="C531:D531"/>
    <mergeCell ref="F529:I529"/>
    <mergeCell ref="C528:D528"/>
    <mergeCell ref="F528:I528"/>
    <mergeCell ref="F521:I521"/>
    <mergeCell ref="C522:D522"/>
    <mergeCell ref="C517:D517"/>
    <mergeCell ref="F517:I517"/>
    <mergeCell ref="F513:I513"/>
    <mergeCell ref="F5:I9"/>
    <mergeCell ref="C142:D142"/>
    <mergeCell ref="C141:D141"/>
    <mergeCell ref="F10:I10"/>
    <mergeCell ref="F231:I231"/>
    <mergeCell ref="F233:I233"/>
    <mergeCell ref="C233:D233"/>
    <mergeCell ref="C325:D325"/>
    <mergeCell ref="C314:D314"/>
    <mergeCell ref="F46:I46"/>
    <mergeCell ref="F45:I45"/>
    <mergeCell ref="C45:D45"/>
    <mergeCell ref="C46:D46"/>
    <mergeCell ref="C38:D38"/>
    <mergeCell ref="F38:I38"/>
    <mergeCell ref="C39:D39"/>
    <mergeCell ref="F39:I39"/>
    <mergeCell ref="C40:D40"/>
    <mergeCell ref="F40:I40"/>
    <mergeCell ref="C41:D41"/>
    <mergeCell ref="F41:I41"/>
    <mergeCell ref="C32:D32"/>
    <mergeCell ref="F191:G191"/>
    <mergeCell ref="H191:I191"/>
    <mergeCell ref="F44:I44"/>
    <mergeCell ref="F24:I24"/>
    <mergeCell ref="C64:D64"/>
    <mergeCell ref="C198:D198"/>
    <mergeCell ref="F198:G198"/>
    <mergeCell ref="A12:B12"/>
    <mergeCell ref="C13:D13"/>
    <mergeCell ref="C14:D14"/>
    <mergeCell ref="F14:I14"/>
    <mergeCell ref="C232:D232"/>
    <mergeCell ref="F232:I232"/>
    <mergeCell ref="F141:I141"/>
    <mergeCell ref="F142:I142"/>
    <mergeCell ref="C169:D169"/>
    <mergeCell ref="F169:G169"/>
    <mergeCell ref="H169:I169"/>
    <mergeCell ref="C170:D170"/>
    <mergeCell ref="F170:G170"/>
    <mergeCell ref="H170:I170"/>
    <mergeCell ref="C171:D171"/>
    <mergeCell ref="C176:D176"/>
    <mergeCell ref="C183:D183"/>
    <mergeCell ref="C202:D202"/>
    <mergeCell ref="F202:G202"/>
    <mergeCell ref="H202:I202"/>
    <mergeCell ref="C44:D44"/>
    <mergeCell ref="F214:I214"/>
    <mergeCell ref="F201:G201"/>
    <mergeCell ref="H201:I201"/>
    <mergeCell ref="F140:I140"/>
    <mergeCell ref="H197:I197"/>
    <mergeCell ref="C201:D201"/>
    <mergeCell ref="A140:B140"/>
    <mergeCell ref="A231:B231"/>
    <mergeCell ref="F197:G197"/>
    <mergeCell ref="C184:D184"/>
    <mergeCell ref="F184:G184"/>
    <mergeCell ref="F313:I313"/>
    <mergeCell ref="F417:I417"/>
    <mergeCell ref="C416:D416"/>
    <mergeCell ref="F395:I395"/>
    <mergeCell ref="C396:D396"/>
    <mergeCell ref="C415:D415"/>
    <mergeCell ref="C320:D320"/>
    <mergeCell ref="F324:I324"/>
    <mergeCell ref="C321:D321"/>
    <mergeCell ref="C330:D330"/>
    <mergeCell ref="F329:I329"/>
    <mergeCell ref="C204:D204"/>
    <mergeCell ref="F204:I204"/>
    <mergeCell ref="C205:D205"/>
    <mergeCell ref="F205:I205"/>
    <mergeCell ref="C390:D390"/>
    <mergeCell ref="F381:I381"/>
    <mergeCell ref="C381:D381"/>
    <mergeCell ref="F365:I365"/>
    <mergeCell ref="C362:D362"/>
    <mergeCell ref="C380:D380"/>
    <mergeCell ref="C387:D387"/>
    <mergeCell ref="F275:I275"/>
    <mergeCell ref="C345:D345"/>
    <mergeCell ref="F306:I306"/>
    <mergeCell ref="C307:D307"/>
    <mergeCell ref="F307:I307"/>
    <mergeCell ref="F261:I261"/>
    <mergeCell ref="C328:D328"/>
    <mergeCell ref="F410:I410"/>
    <mergeCell ref="F387:I387"/>
    <mergeCell ref="F321:I321"/>
    <mergeCell ref="F1:I1"/>
    <mergeCell ref="C166:D166"/>
    <mergeCell ref="F166:I166"/>
    <mergeCell ref="C167:D168"/>
    <mergeCell ref="E167:E168"/>
    <mergeCell ref="F167:G167"/>
    <mergeCell ref="H167:I167"/>
    <mergeCell ref="F168:G168"/>
    <mergeCell ref="H168:I168"/>
    <mergeCell ref="C12:D12"/>
    <mergeCell ref="F12:I12"/>
    <mergeCell ref="F2:I2"/>
    <mergeCell ref="C10:D10"/>
    <mergeCell ref="A3:I3"/>
    <mergeCell ref="E5:E9"/>
    <mergeCell ref="C5:D9"/>
    <mergeCell ref="A5:A9"/>
    <mergeCell ref="B5:B9"/>
    <mergeCell ref="A11:I11"/>
    <mergeCell ref="F13:I13"/>
    <mergeCell ref="A166:B166"/>
    <mergeCell ref="A167:A168"/>
    <mergeCell ref="B167:B168"/>
    <mergeCell ref="F35:I35"/>
    <mergeCell ref="C79:D79"/>
    <mergeCell ref="F20:I20"/>
    <mergeCell ref="F21:I21"/>
    <mergeCell ref="F22:I22"/>
    <mergeCell ref="A44:B44"/>
    <mergeCell ref="F49:I49"/>
    <mergeCell ref="C53:D53"/>
    <mergeCell ref="C26:D26"/>
    <mergeCell ref="A533:C533"/>
    <mergeCell ref="D533:E533"/>
    <mergeCell ref="F533:I533"/>
    <mergeCell ref="C231:D231"/>
    <mergeCell ref="C467:D467"/>
    <mergeCell ref="F467:I467"/>
    <mergeCell ref="C468:D468"/>
    <mergeCell ref="F468:I468"/>
    <mergeCell ref="A411:B411"/>
    <mergeCell ref="A322:B322"/>
    <mergeCell ref="C352:D352"/>
    <mergeCell ref="C350:D350"/>
    <mergeCell ref="C343:D343"/>
    <mergeCell ref="C340:D340"/>
    <mergeCell ref="F340:I340"/>
    <mergeCell ref="C383:D383"/>
    <mergeCell ref="C385:D385"/>
    <mergeCell ref="F382:I382"/>
    <mergeCell ref="F409:I409"/>
    <mergeCell ref="C410:D410"/>
    <mergeCell ref="C418:D418"/>
    <mergeCell ref="C370:D370"/>
    <mergeCell ref="C412:D412"/>
    <mergeCell ref="C379:D379"/>
    <mergeCell ref="F386:I386"/>
    <mergeCell ref="C395:D395"/>
    <mergeCell ref="F411:I411"/>
    <mergeCell ref="C399:D399"/>
    <mergeCell ref="F399:I399"/>
    <mergeCell ref="F415:I415"/>
    <mergeCell ref="F385:I385"/>
    <mergeCell ref="F389:I389"/>
    <mergeCell ref="C420:D420"/>
    <mergeCell ref="A151:B151"/>
    <mergeCell ref="C151:D151"/>
    <mergeCell ref="C140:D140"/>
    <mergeCell ref="A18:B18"/>
    <mergeCell ref="C18:D18"/>
    <mergeCell ref="C377:D377"/>
    <mergeCell ref="F396:I396"/>
    <mergeCell ref="F18:I18"/>
    <mergeCell ref="C19:D19"/>
    <mergeCell ref="F19:I19"/>
    <mergeCell ref="C21:D21"/>
    <mergeCell ref="C22:D22"/>
    <mergeCell ref="C20:D20"/>
    <mergeCell ref="C394:D394"/>
    <mergeCell ref="F378:I378"/>
    <mergeCell ref="C376:D376"/>
    <mergeCell ref="C388:D388"/>
    <mergeCell ref="F371:I371"/>
    <mergeCell ref="F392:I392"/>
    <mergeCell ref="C391:D391"/>
    <mergeCell ref="F375:I375"/>
    <mergeCell ref="F394:I394"/>
    <mergeCell ref="C392:D392"/>
    <mergeCell ref="F23:I23"/>
    <mergeCell ref="F176:G176"/>
    <mergeCell ref="F25:I25"/>
    <mergeCell ref="F27:I27"/>
    <mergeCell ref="F31:I31"/>
    <mergeCell ref="C37:D37"/>
    <mergeCell ref="F37:I37"/>
    <mergeCell ref="A313:B313"/>
    <mergeCell ref="F26:I26"/>
    <mergeCell ref="C27:D27"/>
    <mergeCell ref="C29:D29"/>
    <mergeCell ref="F29:I29"/>
    <mergeCell ref="C30:D30"/>
    <mergeCell ref="F30:I30"/>
    <mergeCell ref="C23:D23"/>
    <mergeCell ref="C24:D24"/>
    <mergeCell ref="C25:D25"/>
    <mergeCell ref="C28:D28"/>
    <mergeCell ref="F28:I28"/>
    <mergeCell ref="F32:I32"/>
    <mergeCell ref="C33:D33"/>
    <mergeCell ref="C31:D31"/>
    <mergeCell ref="F34:I34"/>
    <mergeCell ref="C35:D35"/>
    <mergeCell ref="F33:I33"/>
    <mergeCell ref="C34:D34"/>
    <mergeCell ref="C36:D36"/>
    <mergeCell ref="F36:I36"/>
    <mergeCell ref="C63:D63"/>
    <mergeCell ref="C61:D61"/>
    <mergeCell ref="C69:D69"/>
    <mergeCell ref="C189:D189"/>
    <mergeCell ref="F189:G189"/>
    <mergeCell ref="C113:D113"/>
    <mergeCell ref="F145:I145"/>
    <mergeCell ref="F413:I413"/>
    <mergeCell ref="F397:I397"/>
    <mergeCell ref="C369:D369"/>
    <mergeCell ref="F370:I370"/>
    <mergeCell ref="F373:I373"/>
    <mergeCell ref="F377:I377"/>
    <mergeCell ref="F384:I384"/>
    <mergeCell ref="F266:I266"/>
    <mergeCell ref="C267:D267"/>
    <mergeCell ref="H174:I174"/>
    <mergeCell ref="F187:G187"/>
    <mergeCell ref="F161:I161"/>
    <mergeCell ref="C162:D162"/>
    <mergeCell ref="F162:I162"/>
    <mergeCell ref="C156:D156"/>
    <mergeCell ref="C157:D157"/>
    <mergeCell ref="C158:D158"/>
    <mergeCell ref="C153:D153"/>
    <mergeCell ref="F153:I153"/>
    <mergeCell ref="C143:D143"/>
    <mergeCell ref="F150:I150"/>
    <mergeCell ref="F171:G171"/>
    <mergeCell ref="F390:I390"/>
    <mergeCell ref="F374:I374"/>
    <mergeCell ref="C373:D373"/>
    <mergeCell ref="C422:D422"/>
    <mergeCell ref="F431:I431"/>
    <mergeCell ref="F432:I432"/>
    <mergeCell ref="C430:D430"/>
    <mergeCell ref="F430:I430"/>
    <mergeCell ref="C435:D435"/>
    <mergeCell ref="F388:I388"/>
    <mergeCell ref="F435:I435"/>
    <mergeCell ref="A426:I426"/>
    <mergeCell ref="C425:D425"/>
    <mergeCell ref="C424:D424"/>
    <mergeCell ref="C433:D433"/>
    <mergeCell ref="A427:B427"/>
    <mergeCell ref="C333:D333"/>
    <mergeCell ref="C335:D335"/>
    <mergeCell ref="C336:D336"/>
    <mergeCell ref="F346:I346"/>
    <mergeCell ref="F345:I345"/>
    <mergeCell ref="C334:D334"/>
    <mergeCell ref="F334:I334"/>
    <mergeCell ref="C364:D364"/>
    <mergeCell ref="F351:I351"/>
    <mergeCell ref="F353:I353"/>
    <mergeCell ref="F348:I348"/>
    <mergeCell ref="C368:D368"/>
    <mergeCell ref="C384:D384"/>
    <mergeCell ref="F393:I393"/>
    <mergeCell ref="C349:D349"/>
    <mergeCell ref="A420:B420"/>
    <mergeCell ref="A417:B417"/>
    <mergeCell ref="A408:B408"/>
    <mergeCell ref="A401:B401"/>
    <mergeCell ref="A526:B526"/>
    <mergeCell ref="C526:D526"/>
    <mergeCell ref="F526:I526"/>
    <mergeCell ref="C527:D527"/>
    <mergeCell ref="F527:I527"/>
    <mergeCell ref="F192:G192"/>
    <mergeCell ref="H192:I192"/>
    <mergeCell ref="C193:D193"/>
    <mergeCell ref="F193:G193"/>
    <mergeCell ref="H193:I193"/>
    <mergeCell ref="C194:D194"/>
    <mergeCell ref="F194:G194"/>
    <mergeCell ref="H194:I194"/>
    <mergeCell ref="C252:D252"/>
    <mergeCell ref="F252:I252"/>
    <mergeCell ref="C253:D253"/>
    <mergeCell ref="F253:I253"/>
    <mergeCell ref="C254:D254"/>
    <mergeCell ref="F254:I254"/>
    <mergeCell ref="A523:B523"/>
    <mergeCell ref="C523:D523"/>
    <mergeCell ref="F523:I523"/>
    <mergeCell ref="A423:B423"/>
    <mergeCell ref="C423:D423"/>
    <mergeCell ref="C397:D397"/>
    <mergeCell ref="F248:I248"/>
    <mergeCell ref="F380:I380"/>
    <mergeCell ref="F379:I379"/>
    <mergeCell ref="C304:D304"/>
    <mergeCell ref="F304:I304"/>
    <mergeCell ref="C265:D265"/>
    <mergeCell ref="C146:D146"/>
    <mergeCell ref="C154:D154"/>
    <mergeCell ref="F172:G172"/>
    <mergeCell ref="H172:I172"/>
    <mergeCell ref="C173:D173"/>
    <mergeCell ref="F175:G175"/>
    <mergeCell ref="H175:I175"/>
    <mergeCell ref="H199:I199"/>
    <mergeCell ref="C200:D200"/>
    <mergeCell ref="F200:G200"/>
    <mergeCell ref="H196:I196"/>
    <mergeCell ref="C197:D197"/>
    <mergeCell ref="H184:I184"/>
    <mergeCell ref="C185:D185"/>
    <mergeCell ref="C186:D186"/>
    <mergeCell ref="H171:I171"/>
    <mergeCell ref="C172:D172"/>
    <mergeCell ref="C187:D187"/>
    <mergeCell ref="C161:D161"/>
    <mergeCell ref="H180:I180"/>
    <mergeCell ref="C177:D177"/>
    <mergeCell ref="C174:D174"/>
    <mergeCell ref="F174:G174"/>
    <mergeCell ref="H190:I190"/>
    <mergeCell ref="C191:D191"/>
    <mergeCell ref="F185:G185"/>
    <mergeCell ref="H185:I185"/>
    <mergeCell ref="C188:D188"/>
    <mergeCell ref="F188:G188"/>
    <mergeCell ref="H188:I188"/>
    <mergeCell ref="C175:D175"/>
    <mergeCell ref="F249:I249"/>
    <mergeCell ref="C342:D342"/>
    <mergeCell ref="F335:I335"/>
    <mergeCell ref="C213:D213"/>
    <mergeCell ref="C214:D214"/>
    <mergeCell ref="C215:D215"/>
    <mergeCell ref="F235:I235"/>
    <mergeCell ref="C236:D236"/>
    <mergeCell ref="F236:I236"/>
    <mergeCell ref="C255:D255"/>
    <mergeCell ref="F255:I255"/>
    <mergeCell ref="C276:D276"/>
    <mergeCell ref="F276:I276"/>
    <mergeCell ref="F291:I291"/>
    <mergeCell ref="C297:D297"/>
    <mergeCell ref="F297:I297"/>
    <mergeCell ref="C283:D283"/>
    <mergeCell ref="F283:I283"/>
    <mergeCell ref="F294:I294"/>
    <mergeCell ref="C295:D295"/>
    <mergeCell ref="F295:I295"/>
    <mergeCell ref="C296:D296"/>
    <mergeCell ref="C282:D282"/>
    <mergeCell ref="F282:I282"/>
    <mergeCell ref="C250:D250"/>
    <mergeCell ref="C280:D280"/>
    <mergeCell ref="F280:I280"/>
    <mergeCell ref="C281:D281"/>
    <mergeCell ref="F281:I281"/>
    <mergeCell ref="F268:I268"/>
    <mergeCell ref="F287:I287"/>
    <mergeCell ref="C305:D305"/>
    <mergeCell ref="C271:D271"/>
    <mergeCell ref="F271:I271"/>
    <mergeCell ref="C52:D52"/>
    <mergeCell ref="F52:I52"/>
    <mergeCell ref="F164:I164"/>
    <mergeCell ref="C165:D165"/>
    <mergeCell ref="F154:I154"/>
    <mergeCell ref="F155:I155"/>
    <mergeCell ref="F156:I156"/>
    <mergeCell ref="F157:I157"/>
    <mergeCell ref="F158:I158"/>
    <mergeCell ref="F165:I165"/>
    <mergeCell ref="C160:D160"/>
    <mergeCell ref="F160:I160"/>
    <mergeCell ref="C159:D159"/>
    <mergeCell ref="F159:I159"/>
    <mergeCell ref="F273:I273"/>
    <mergeCell ref="F237:I237"/>
    <mergeCell ref="C238:D238"/>
    <mergeCell ref="F238:I238"/>
    <mergeCell ref="F245:I245"/>
    <mergeCell ref="F239:I239"/>
    <mergeCell ref="C240:D240"/>
    <mergeCell ref="F240:I240"/>
    <mergeCell ref="F186:G186"/>
    <mergeCell ref="H186:I186"/>
    <mergeCell ref="F269:I269"/>
    <mergeCell ref="C270:D270"/>
    <mergeCell ref="F270:I270"/>
    <mergeCell ref="F55:I55"/>
    <mergeCell ref="F151:I151"/>
    <mergeCell ref="C249:D249"/>
    <mergeCell ref="A513:B513"/>
    <mergeCell ref="C474:D474"/>
    <mergeCell ref="C476:D476"/>
    <mergeCell ref="F330:I330"/>
    <mergeCell ref="C427:D427"/>
    <mergeCell ref="F427:I427"/>
    <mergeCell ref="C428:D428"/>
    <mergeCell ref="F428:I428"/>
    <mergeCell ref="C429:D429"/>
    <mergeCell ref="F429:I429"/>
    <mergeCell ref="H227:I227"/>
    <mergeCell ref="F228:G228"/>
    <mergeCell ref="H228:I228"/>
    <mergeCell ref="F229:G229"/>
    <mergeCell ref="H229:I229"/>
    <mergeCell ref="F230:G230"/>
    <mergeCell ref="H230:I230"/>
    <mergeCell ref="F476:I476"/>
    <mergeCell ref="C464:D464"/>
    <mergeCell ref="C285:D285"/>
    <mergeCell ref="C378:D378"/>
    <mergeCell ref="C382:D382"/>
    <mergeCell ref="C288:D288"/>
    <mergeCell ref="F288:I288"/>
    <mergeCell ref="C289:D289"/>
    <mergeCell ref="F289:I289"/>
    <mergeCell ref="C269:D269"/>
    <mergeCell ref="C292:D292"/>
    <mergeCell ref="C434:D434"/>
    <mergeCell ref="F434:I434"/>
    <mergeCell ref="C312:D312"/>
    <mergeCell ref="C299:D299"/>
    <mergeCell ref="A516:B516"/>
    <mergeCell ref="C516:D516"/>
    <mergeCell ref="F516:I516"/>
    <mergeCell ref="A466:B466"/>
    <mergeCell ref="A476:B476"/>
    <mergeCell ref="C442:D442"/>
    <mergeCell ref="F442:I442"/>
    <mergeCell ref="C445:D445"/>
    <mergeCell ref="F445:I445"/>
    <mergeCell ref="C448:D448"/>
    <mergeCell ref="F448:I448"/>
    <mergeCell ref="C450:D450"/>
    <mergeCell ref="F450:I450"/>
    <mergeCell ref="C454:D454"/>
    <mergeCell ref="F454:I454"/>
    <mergeCell ref="C455:D455"/>
    <mergeCell ref="C313:D313"/>
    <mergeCell ref="C508:D508"/>
    <mergeCell ref="C466:D466"/>
    <mergeCell ref="F466:I466"/>
    <mergeCell ref="C477:D477"/>
    <mergeCell ref="F477:I477"/>
    <mergeCell ref="C478:D478"/>
    <mergeCell ref="F478:I478"/>
    <mergeCell ref="F464:I464"/>
    <mergeCell ref="F460:I460"/>
    <mergeCell ref="C462:D462"/>
    <mergeCell ref="F462:I462"/>
    <mergeCell ref="A473:B473"/>
    <mergeCell ref="C463:D463"/>
    <mergeCell ref="F463:I463"/>
    <mergeCell ref="C465:D465"/>
    <mergeCell ref="F455:I455"/>
    <mergeCell ref="C458:D458"/>
    <mergeCell ref="F458:I458"/>
    <mergeCell ref="C460:D460"/>
    <mergeCell ref="C481:D481"/>
    <mergeCell ref="F481:I481"/>
    <mergeCell ref="C469:D469"/>
    <mergeCell ref="F469:I469"/>
    <mergeCell ref="F369:I369"/>
    <mergeCell ref="F368:I368"/>
    <mergeCell ref="F367:I367"/>
    <mergeCell ref="F361:I361"/>
    <mergeCell ref="C346:D346"/>
    <mergeCell ref="F344:I344"/>
    <mergeCell ref="F347:I347"/>
    <mergeCell ref="F407:I407"/>
    <mergeCell ref="F309:I309"/>
    <mergeCell ref="C310:D310"/>
    <mergeCell ref="F310:I310"/>
    <mergeCell ref="F465:I465"/>
    <mergeCell ref="F376:I376"/>
    <mergeCell ref="C374:D374"/>
    <mergeCell ref="C375:D375"/>
    <mergeCell ref="C371:D371"/>
    <mergeCell ref="C372:D372"/>
    <mergeCell ref="C411:D411"/>
    <mergeCell ref="C413:D413"/>
    <mergeCell ref="C367:D367"/>
    <mergeCell ref="F359:I359"/>
    <mergeCell ref="F364:I364"/>
    <mergeCell ref="F358:I358"/>
    <mergeCell ref="F360:I360"/>
    <mergeCell ref="A224:B224"/>
    <mergeCell ref="C224:D224"/>
    <mergeCell ref="C302:D302"/>
    <mergeCell ref="C324:D324"/>
    <mergeCell ref="C326:D326"/>
    <mergeCell ref="C227:D227"/>
    <mergeCell ref="C228:D228"/>
    <mergeCell ref="C229:D229"/>
    <mergeCell ref="C230:D230"/>
    <mergeCell ref="F227:G227"/>
    <mergeCell ref="C300:D300"/>
    <mergeCell ref="F300:I300"/>
    <mergeCell ref="C290:D290"/>
    <mergeCell ref="F290:I290"/>
    <mergeCell ref="C291:D291"/>
    <mergeCell ref="F226:G226"/>
    <mergeCell ref="H226:I226"/>
    <mergeCell ref="C301:D301"/>
    <mergeCell ref="F301:I301"/>
    <mergeCell ref="F305:I305"/>
    <mergeCell ref="C241:D241"/>
    <mergeCell ref="F241:I241"/>
    <mergeCell ref="C242:D242"/>
    <mergeCell ref="F292:I292"/>
    <mergeCell ref="C293:D293"/>
    <mergeCell ref="F293:I293"/>
    <mergeCell ref="C294:D294"/>
    <mergeCell ref="F296:I296"/>
    <mergeCell ref="C284:D284"/>
    <mergeCell ref="F284:I284"/>
    <mergeCell ref="F325:I325"/>
    <mergeCell ref="F279:I279"/>
  </mergeCells>
  <pageMargins left="0.78740157480314965" right="0.39370078740157483" top="0.78740157480314965" bottom="0.78740157480314965" header="0.39370078740157483" footer="0.39370078740157483"/>
  <pageSetup paperSize="9" scale="50" firstPageNumber="11" fitToHeight="500" orientation="landscape" useFirstPageNumber="1" horizontalDpi="300" verticalDpi="300" r:id="rId4"/>
  <headerFooter alignWithMargins="0">
    <oddHeader>&amp;C&amp;"Times New Roman,обычный"&amp;14&amp;P</oddHeader>
    <firstHeader>&amp;C&amp;P</firstHeader>
  </headerFooter>
  <rowBreaks count="7" manualBreakCount="7">
    <brk id="55" max="8" man="1"/>
    <brk id="100" max="8" man="1"/>
    <brk id="117" max="8" man="1"/>
    <brk id="139" max="8" man="1"/>
    <brk id="400" max="8" man="1"/>
    <brk id="419" max="8" man="1"/>
    <brk id="52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З</vt:lpstr>
      <vt:lpstr>НА</vt:lpstr>
      <vt:lpstr>З!Заголовки_для_печати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</cp:lastModifiedBy>
  <cp:lastPrinted>2025-12-11T13:11:04Z</cp:lastPrinted>
  <dcterms:created xsi:type="dcterms:W3CDTF">2015-06-05T18:19:34Z</dcterms:created>
  <dcterms:modified xsi:type="dcterms:W3CDTF">2025-12-16T15:42:54Z</dcterms:modified>
</cp:coreProperties>
</file>