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200" windowHeight="10230" tabRatio="611"/>
  </bookViews>
  <sheets>
    <sheet name="Додаток 7" sheetId="4" r:id="rId1"/>
  </sheets>
  <definedNames>
    <definedName name="_xlnm._FilterDatabase" localSheetId="0" hidden="1">'Додаток 7'!$A$11:$N$302</definedName>
    <definedName name="Excel_BuiltIn_Print_Titles" localSheetId="0">'Додаток 7'!$10:$10</definedName>
    <definedName name="Z_13404B8C_9394_4F03_AC85_30060F64F3FA_.wvu.FilterData" localSheetId="0" hidden="1">'Додаток 7'!$A$10:$L$290</definedName>
    <definedName name="Z_13404B8C_9394_4F03_AC85_30060F64F3FA_.wvu.PrintArea" localSheetId="0" hidden="1">'Додаток 7'!$A$1:$J$305</definedName>
    <definedName name="Z_2544C09D_6F05_4B35_B294_F5734B516DB7_.wvu.FilterData" localSheetId="0" hidden="1">'Додаток 7'!$A$11:$L$290</definedName>
    <definedName name="Z_2DF03D22_038C_4633_BC59_BD65AE2BF080_.wvu.FilterData" localSheetId="0" hidden="1">'Додаток 7'!$A$11:$L$290</definedName>
    <definedName name="Z_2DF03D22_038C_4633_BC59_BD65AE2BF080_.wvu.PrintArea" localSheetId="0" hidden="1">'Додаток 7'!$A$1:$J$304</definedName>
    <definedName name="Z_2DF03D22_038C_4633_BC59_BD65AE2BF080_.wvu.PrintTitles" localSheetId="0" hidden="1">'Додаток 7'!$8:$10</definedName>
    <definedName name="Z_2DF03D22_038C_4633_BC59_BD65AE2BF080_.wvu.Rows" localSheetId="0" hidden="1">'Додаток 7'!$12:$61,'Додаток 7'!#REF!,'Додаток 7'!#REF!,'Додаток 7'!$114:$166,'Додаток 7'!$209:$231,'Додаток 7'!$250:$284</definedName>
    <definedName name="Z_3B5C3CFA_F5D3_4720_8335_6B42DA4C7099_.wvu.FilterData" localSheetId="0" hidden="1">'Додаток 7'!$A$11:$L$290</definedName>
    <definedName name="Z_46F15536_9AB3_432E_A686_742EDCC2343D_.wvu.FilterData" localSheetId="0" hidden="1">'Додаток 7'!$A$10:$L$290</definedName>
    <definedName name="Z_46F15536_9AB3_432E_A686_742EDCC2343D_.wvu.PrintArea" localSheetId="0" hidden="1">'Додаток 7'!$A$1:$J$305</definedName>
    <definedName name="Z_48B006C7_4833_439C_8DEA_75B7C9E8B0E8_.wvu.FilterData" localSheetId="0" hidden="1">'Додаток 7'!$A$11:$L$290</definedName>
    <definedName name="Z_48B006C7_4833_439C_8DEA_75B7C9E8B0E8_.wvu.PrintArea" localSheetId="0" hidden="1">'Додаток 7'!$A$1:$J$304</definedName>
    <definedName name="Z_48B006C7_4833_439C_8DEA_75B7C9E8B0E8_.wvu.PrintTitles" localSheetId="0" hidden="1">'Додаток 7'!$8:$10</definedName>
    <definedName name="Z_48B006C7_4833_439C_8DEA_75B7C9E8B0E8_.wvu.Rows" localSheetId="0" hidden="1">'Додаток 7'!$12:$61,'Додаток 7'!$114:$166,'Додаток 7'!$209:$231,'Додаток 7'!$250:$284</definedName>
    <definedName name="Z_62E010A0_F7FF_4551_9B97_DCC24689A875_.wvu.FilterData" localSheetId="0" hidden="1">'Додаток 7'!$A$11:$L$290</definedName>
    <definedName name="Z_6AB0FFBC_D224_4C80_8A89_5265400DA5A0_.wvu.FilterData" localSheetId="0" hidden="1">'Додаток 7'!$A$11:$L$290</definedName>
    <definedName name="Z_6E730A68_434D_4D57_8BDF_AE1167B5A220_.wvu.FilterData" localSheetId="0" hidden="1">'Додаток 7'!$A$11:$L$290</definedName>
    <definedName name="Z_6E730A68_434D_4D57_8BDF_AE1167B5A220_.wvu.Rows" localSheetId="0" hidden="1">'Додаток 7'!#REF!</definedName>
    <definedName name="Z_96E2A35E_4A48_419F_9E38_8CEFA5D27C66_.wvu.PrintArea" localSheetId="0">'Додаток 7'!$A$1:$J$302</definedName>
    <definedName name="Z_96E2A35E_4A48_419F_9E38_8CEFA5D27C66_.wvu.PrintTitles" localSheetId="0">'Додаток 7'!$10:$10</definedName>
    <definedName name="Z_96E2A35E_4A48_419F_9E38_8CEFA5D27C66_.wvu.Rows" localSheetId="0">'Додаток 7'!#REF!</definedName>
    <definedName name="Z_ABBD498D_3D2F_4E62_985A_EF1DC4D9DC47_.wvu.PrintArea" localSheetId="0">'Додаток 7'!$A$1:$J$302</definedName>
    <definedName name="Z_ABBD498D_3D2F_4E62_985A_EF1DC4D9DC47_.wvu.PrintTitles" localSheetId="0">'Додаток 7'!$10:$10</definedName>
    <definedName name="Z_ABBD498D_3D2F_4E62_985A_EF1DC4D9DC47_.wvu.Rows" localSheetId="0">'Додаток 7'!#REF!</definedName>
    <definedName name="Z_E02D48B6_D0D9_4E6E_B70D_8E13580A6528_.wvu.PrintArea" localSheetId="0">'Додаток 7'!$A$1:$J$302</definedName>
    <definedName name="Z_E02D48B6_D0D9_4E6E_B70D_8E13580A6528_.wvu.PrintTitles" localSheetId="0">'Додаток 7'!$10:$10</definedName>
    <definedName name="Z_E02D48B6_D0D9_4E6E_B70D_8E13580A6528_.wvu.Rows" localSheetId="0">'Додаток 7'!#REF!</definedName>
    <definedName name="_xlnm.Print_Titles" localSheetId="0">'Додаток 7'!$9:$11</definedName>
    <definedName name="_xlnm.Print_Area" localSheetId="0">'Додаток 7'!$A$1:$J$304</definedName>
  </definedNames>
  <calcPr calcId="145621" fullCalcOnLoad="1"/>
  <customWorkbookViews>
    <customWorkbookView name="Клименко Анна - Особисте подання" guid="{46F15536-9AB3-432E-A686-742EDCC2343D}" mergeInterval="0" personalView="1" maximized="1" xWindow="-8" yWindow="-8" windowWidth="1936" windowHeight="1056" tabRatio="602" activeSheetId="1" showComments="commIndAndComment"/>
    <customWorkbookView name="Бiк Галина - Личное представление" guid="{13404B8C-9394-4F03-AC85-30060F64F3FA}" mergeInterval="0" personalView="1" maximized="1" xWindow="-9" yWindow="-9" windowWidth="1938" windowHeight="1048" tabRatio="602" activeSheetId="1" showComments="commIndAndComment"/>
    <customWorkbookView name="Гаврилюк Олена - Особисте подання" guid="{2DF03D22-038C-4633-BC59-BD65AE2BF080}" mergeInterval="0" personalView="1" maximized="1" xWindow="-8" yWindow="-8" windowWidth="1296" windowHeight="696" tabRatio="602" activeSheetId="1"/>
    <customWorkbookView name="Шведун Світлана - Особисте подання" guid="{48B006C7-4833-439C-8DEA-75B7C9E8B0E8}" mergeInterval="0" personalView="1" maximized="1" xWindow="-9" yWindow="-9" windowWidth="1938" windowHeight="1048" tabRatio="602" activeSheetId="1"/>
    <customWorkbookView name="Грешних Наталія - Особисте подання" guid="{3B5C3CFA-F5D3-4720-8335-6B42DA4C7099}" mergeInterval="0" personalView="1" maximized="1" xWindow="-1288" yWindow="-8" windowWidth="1296" windowHeight="1000" tabRatio="602" activeSheetId="1"/>
    <customWorkbookView name="Рябова Наталія - Особисте подання" guid="{6E730A68-434D-4D57-8BDF-AE1167B5A220}" mergeInterval="0" personalView="1" maximized="1" xWindow="-8" yWindow="-8" windowWidth="1936" windowHeight="1056" tabRatio="602" activeSheetId="1"/>
  </customWorkbookViews>
</workbook>
</file>

<file path=xl/calcChain.xml><?xml version="1.0" encoding="utf-8"?>
<calcChain xmlns="http://schemas.openxmlformats.org/spreadsheetml/2006/main">
  <c r="H19" i="4" l="1"/>
  <c r="J256" i="4"/>
  <c r="I256" i="4"/>
  <c r="J67" i="4"/>
  <c r="I67" i="4"/>
  <c r="H67" i="4"/>
  <c r="J66" i="4"/>
  <c r="I66" i="4"/>
  <c r="J276" i="4"/>
  <c r="I276" i="4"/>
  <c r="J277" i="4"/>
  <c r="I277" i="4"/>
  <c r="J60" i="4"/>
  <c r="I60" i="4"/>
  <c r="H166" i="4"/>
  <c r="H165" i="4"/>
  <c r="H160" i="4"/>
  <c r="G160" i="4"/>
  <c r="G168" i="4"/>
  <c r="J166" i="4"/>
  <c r="J165" i="4"/>
  <c r="J160" i="4"/>
  <c r="I169" i="4"/>
  <c r="G169" i="4"/>
  <c r="I100" i="4"/>
  <c r="I99" i="4"/>
  <c r="I97" i="4"/>
  <c r="J100" i="4"/>
  <c r="J99" i="4"/>
  <c r="I82" i="4"/>
  <c r="I81" i="4"/>
  <c r="J82" i="4"/>
  <c r="J81" i="4"/>
  <c r="J79" i="4"/>
  <c r="H82" i="4"/>
  <c r="H81" i="4"/>
  <c r="I54" i="4"/>
  <c r="I53" i="4"/>
  <c r="I51" i="4"/>
  <c r="J54" i="4"/>
  <c r="J53" i="4"/>
  <c r="J51" i="4"/>
  <c r="H54" i="4"/>
  <c r="H53" i="4"/>
  <c r="H51" i="4"/>
  <c r="G51" i="4"/>
  <c r="G301" i="4"/>
  <c r="G300" i="4"/>
  <c r="J299" i="4"/>
  <c r="J298" i="4"/>
  <c r="J296" i="4"/>
  <c r="I299" i="4"/>
  <c r="I298" i="4"/>
  <c r="I296" i="4"/>
  <c r="H299" i="4"/>
  <c r="H298" i="4"/>
  <c r="H296" i="4"/>
  <c r="H295" i="4"/>
  <c r="G295" i="4"/>
  <c r="J294" i="4"/>
  <c r="J293" i="4"/>
  <c r="J291" i="4"/>
  <c r="I294" i="4"/>
  <c r="I293" i="4"/>
  <c r="I291" i="4"/>
  <c r="G290" i="4"/>
  <c r="G289" i="4"/>
  <c r="G288" i="4"/>
  <c r="G286" i="4"/>
  <c r="J289" i="4"/>
  <c r="J288" i="4"/>
  <c r="J286" i="4"/>
  <c r="I289" i="4"/>
  <c r="I288" i="4"/>
  <c r="I286" i="4"/>
  <c r="H289" i="4"/>
  <c r="H288" i="4"/>
  <c r="H286" i="4"/>
  <c r="G287" i="4"/>
  <c r="G285" i="4"/>
  <c r="J284" i="4"/>
  <c r="J283" i="4"/>
  <c r="J281" i="4"/>
  <c r="I284" i="4"/>
  <c r="I283" i="4"/>
  <c r="I281" i="4"/>
  <c r="H284" i="4"/>
  <c r="H283" i="4"/>
  <c r="G282" i="4"/>
  <c r="G280" i="4"/>
  <c r="J279" i="4"/>
  <c r="J278" i="4"/>
  <c r="I279" i="4"/>
  <c r="H279" i="4"/>
  <c r="G277" i="4"/>
  <c r="H277" i="4"/>
  <c r="H276" i="4"/>
  <c r="H275" i="4"/>
  <c r="H274" i="4"/>
  <c r="G274" i="4"/>
  <c r="G271" i="4"/>
  <c r="J270" i="4"/>
  <c r="J269" i="4"/>
  <c r="J267" i="4"/>
  <c r="I270" i="4"/>
  <c r="I269" i="4"/>
  <c r="H270" i="4"/>
  <c r="H269" i="4"/>
  <c r="H267" i="4"/>
  <c r="G268" i="4"/>
  <c r="J266" i="4"/>
  <c r="J265" i="4"/>
  <c r="J264" i="4"/>
  <c r="J262" i="4"/>
  <c r="I266" i="4"/>
  <c r="I265" i="4"/>
  <c r="I264" i="4"/>
  <c r="I262" i="4"/>
  <c r="H266" i="4"/>
  <c r="H265" i="4"/>
  <c r="G265" i="4"/>
  <c r="J261" i="4"/>
  <c r="J260" i="4"/>
  <c r="J259" i="4"/>
  <c r="J257" i="4"/>
  <c r="I261" i="4"/>
  <c r="I260" i="4"/>
  <c r="H261" i="4"/>
  <c r="I254" i="4"/>
  <c r="I253" i="4"/>
  <c r="H256" i="4"/>
  <c r="H254" i="4"/>
  <c r="H253" i="4"/>
  <c r="H251" i="4"/>
  <c r="G255" i="4"/>
  <c r="J254" i="4"/>
  <c r="J253" i="4"/>
  <c r="J251" i="4"/>
  <c r="J302" i="4"/>
  <c r="G250" i="4"/>
  <c r="J249" i="4"/>
  <c r="J248" i="4"/>
  <c r="J246" i="4"/>
  <c r="I249" i="4"/>
  <c r="H249" i="4"/>
  <c r="H248" i="4"/>
  <c r="G245" i="4"/>
  <c r="H244" i="4"/>
  <c r="G244" i="4"/>
  <c r="J243" i="4"/>
  <c r="J242" i="4"/>
  <c r="J240" i="4"/>
  <c r="I243" i="4"/>
  <c r="I242" i="4"/>
  <c r="I240" i="4"/>
  <c r="H239" i="4"/>
  <c r="G239" i="4"/>
  <c r="J238" i="4"/>
  <c r="J237" i="4"/>
  <c r="J235" i="4"/>
  <c r="I238" i="4"/>
  <c r="I237" i="4"/>
  <c r="I235" i="4"/>
  <c r="G234" i="4"/>
  <c r="G232" i="4"/>
  <c r="G231" i="4"/>
  <c r="J232" i="4"/>
  <c r="J231" i="4"/>
  <c r="J230" i="4"/>
  <c r="J228" i="4"/>
  <c r="I232" i="4"/>
  <c r="I231" i="4"/>
  <c r="I230" i="4"/>
  <c r="I228" i="4"/>
  <c r="H232" i="4"/>
  <c r="H231" i="4"/>
  <c r="H230" i="4"/>
  <c r="G227" i="4"/>
  <c r="J226" i="4"/>
  <c r="J225" i="4"/>
  <c r="J223" i="4"/>
  <c r="I226" i="4"/>
  <c r="I225" i="4"/>
  <c r="I223" i="4"/>
  <c r="H226" i="4"/>
  <c r="H222" i="4"/>
  <c r="G222" i="4"/>
  <c r="J221" i="4"/>
  <c r="J220" i="4"/>
  <c r="J218" i="4"/>
  <c r="I221" i="4"/>
  <c r="G217" i="4"/>
  <c r="J216" i="4"/>
  <c r="J215" i="4"/>
  <c r="I216" i="4"/>
  <c r="H216" i="4"/>
  <c r="G216" i="4"/>
  <c r="G214" i="4"/>
  <c r="J213" i="4"/>
  <c r="J212" i="4"/>
  <c r="I213" i="4"/>
  <c r="I212" i="4"/>
  <c r="H213" i="4"/>
  <c r="G209" i="4"/>
  <c r="G208" i="4"/>
  <c r="G207" i="4"/>
  <c r="H206" i="4"/>
  <c r="G206" i="4"/>
  <c r="G205" i="4"/>
  <c r="J204" i="4"/>
  <c r="J203" i="4"/>
  <c r="J201" i="4"/>
  <c r="I204" i="4"/>
  <c r="I203" i="4"/>
  <c r="I201" i="4"/>
  <c r="H200" i="4"/>
  <c r="G200" i="4"/>
  <c r="H199" i="4"/>
  <c r="G199" i="4"/>
  <c r="J198" i="4"/>
  <c r="J197" i="4"/>
  <c r="J195" i="4"/>
  <c r="I198" i="4"/>
  <c r="I197" i="4"/>
  <c r="I195" i="4"/>
  <c r="H194" i="4"/>
  <c r="G194" i="4"/>
  <c r="G193" i="4"/>
  <c r="G192" i="4"/>
  <c r="G191" i="4"/>
  <c r="G190" i="4"/>
  <c r="J189" i="4"/>
  <c r="J188" i="4"/>
  <c r="J186" i="4"/>
  <c r="I189" i="4"/>
  <c r="I188" i="4"/>
  <c r="I186" i="4"/>
  <c r="G185" i="4"/>
  <c r="G173" i="4"/>
  <c r="I184" i="4"/>
  <c r="G184" i="4"/>
  <c r="G183" i="4"/>
  <c r="G182" i="4"/>
  <c r="J181" i="4"/>
  <c r="J173" i="4"/>
  <c r="J172" i="4"/>
  <c r="J170" i="4"/>
  <c r="I181" i="4"/>
  <c r="G181" i="4"/>
  <c r="J180" i="4"/>
  <c r="I180" i="4"/>
  <c r="H180" i="4"/>
  <c r="G179" i="4"/>
  <c r="J178" i="4"/>
  <c r="I178" i="4"/>
  <c r="G178" i="4"/>
  <c r="H178" i="4"/>
  <c r="J177" i="4"/>
  <c r="I177" i="4"/>
  <c r="G177" i="4"/>
  <c r="J176" i="4"/>
  <c r="I176" i="4"/>
  <c r="H176" i="4"/>
  <c r="G175" i="4"/>
  <c r="H174" i="4"/>
  <c r="G174" i="4"/>
  <c r="I167" i="4"/>
  <c r="I166" i="4"/>
  <c r="I165" i="4"/>
  <c r="G167" i="4"/>
  <c r="G166" i="4"/>
  <c r="G164" i="4"/>
  <c r="G163" i="4"/>
  <c r="G162" i="4"/>
  <c r="J163" i="4"/>
  <c r="J162" i="4"/>
  <c r="I163" i="4"/>
  <c r="I162" i="4"/>
  <c r="I160" i="4"/>
  <c r="H163" i="4"/>
  <c r="H162" i="4"/>
  <c r="G159" i="4"/>
  <c r="J158" i="4"/>
  <c r="J157" i="4"/>
  <c r="I158" i="4"/>
  <c r="I157" i="4"/>
  <c r="H158" i="4"/>
  <c r="G156" i="4"/>
  <c r="G154" i="4"/>
  <c r="J154" i="4"/>
  <c r="J139" i="4"/>
  <c r="J138" i="4"/>
  <c r="I154" i="4"/>
  <c r="I139" i="4"/>
  <c r="I138" i="4"/>
  <c r="H154" i="4"/>
  <c r="H139" i="4"/>
  <c r="H138" i="4"/>
  <c r="G153" i="4"/>
  <c r="G152" i="4"/>
  <c r="G151" i="4"/>
  <c r="I150" i="4"/>
  <c r="G150" i="4"/>
  <c r="G148" i="4"/>
  <c r="J147" i="4"/>
  <c r="I147" i="4"/>
  <c r="G147" i="4"/>
  <c r="I146" i="4"/>
  <c r="G146" i="4"/>
  <c r="G145" i="4"/>
  <c r="I144" i="4"/>
  <c r="G144" i="4"/>
  <c r="G143" i="4"/>
  <c r="G142" i="4"/>
  <c r="J141" i="4"/>
  <c r="I141" i="4"/>
  <c r="J140" i="4"/>
  <c r="I140" i="4"/>
  <c r="G140" i="4"/>
  <c r="G137" i="4"/>
  <c r="J136" i="4"/>
  <c r="J134" i="4"/>
  <c r="J127" i="4"/>
  <c r="J126" i="4"/>
  <c r="I136" i="4"/>
  <c r="I134" i="4"/>
  <c r="I127" i="4"/>
  <c r="I126" i="4"/>
  <c r="H134" i="4"/>
  <c r="H127" i="4"/>
  <c r="H126" i="4"/>
  <c r="G133" i="4"/>
  <c r="G132" i="4"/>
  <c r="H131" i="4"/>
  <c r="G131" i="4"/>
  <c r="G130" i="4"/>
  <c r="G129" i="4"/>
  <c r="G128" i="4"/>
  <c r="H123" i="4"/>
  <c r="G123" i="4"/>
  <c r="J122" i="4"/>
  <c r="J121" i="4"/>
  <c r="J119" i="4"/>
  <c r="I122" i="4"/>
  <c r="I121" i="4"/>
  <c r="I119" i="4"/>
  <c r="H118" i="4"/>
  <c r="G118" i="4"/>
  <c r="J117" i="4"/>
  <c r="J116" i="4"/>
  <c r="J114" i="4"/>
  <c r="I117" i="4"/>
  <c r="I116" i="4"/>
  <c r="I114" i="4"/>
  <c r="H113" i="4"/>
  <c r="G113" i="4"/>
  <c r="H112" i="4"/>
  <c r="G112" i="4"/>
  <c r="G111" i="4"/>
  <c r="H110" i="4"/>
  <c r="G110" i="4"/>
  <c r="H109" i="4"/>
  <c r="G109" i="4"/>
  <c r="H108" i="4"/>
  <c r="G108" i="4"/>
  <c r="H107" i="4"/>
  <c r="G107" i="4"/>
  <c r="H106" i="4"/>
  <c r="G106" i="4"/>
  <c r="J105" i="4"/>
  <c r="J104" i="4"/>
  <c r="I105" i="4"/>
  <c r="I104" i="4"/>
  <c r="H103" i="4"/>
  <c r="G103" i="4"/>
  <c r="G102" i="4"/>
  <c r="G101" i="4"/>
  <c r="G96" i="4"/>
  <c r="G95" i="4"/>
  <c r="G93" i="4"/>
  <c r="J93" i="4"/>
  <c r="J87" i="4"/>
  <c r="J86" i="4"/>
  <c r="J84" i="4"/>
  <c r="I93" i="4"/>
  <c r="I87" i="4"/>
  <c r="I86" i="4"/>
  <c r="I84" i="4"/>
  <c r="H93" i="4"/>
  <c r="H87" i="4"/>
  <c r="H86" i="4"/>
  <c r="H84" i="4"/>
  <c r="G92" i="4"/>
  <c r="H91" i="4"/>
  <c r="G91" i="4"/>
  <c r="G90" i="4"/>
  <c r="G89" i="4"/>
  <c r="G88" i="4"/>
  <c r="G87" i="4"/>
  <c r="G83" i="4"/>
  <c r="G82" i="4"/>
  <c r="H78" i="4"/>
  <c r="G78" i="4"/>
  <c r="H77" i="4"/>
  <c r="G77" i="4"/>
  <c r="J76" i="4"/>
  <c r="J75" i="4"/>
  <c r="J73" i="4"/>
  <c r="I76" i="4"/>
  <c r="I75" i="4"/>
  <c r="I73" i="4"/>
  <c r="G72" i="4"/>
  <c r="G71" i="4"/>
  <c r="G70" i="4"/>
  <c r="G69" i="4"/>
  <c r="G68" i="4"/>
  <c r="J65" i="4"/>
  <c r="J64" i="4"/>
  <c r="J62" i="4"/>
  <c r="I65" i="4"/>
  <c r="I64" i="4"/>
  <c r="G66" i="4"/>
  <c r="H61" i="4"/>
  <c r="H59" i="4"/>
  <c r="H58" i="4"/>
  <c r="H56" i="4"/>
  <c r="J59" i="4"/>
  <c r="J58" i="4"/>
  <c r="J56" i="4"/>
  <c r="G60" i="4"/>
  <c r="G55" i="4"/>
  <c r="G54" i="4"/>
  <c r="G50" i="4"/>
  <c r="G49" i="4"/>
  <c r="G48" i="4"/>
  <c r="J49" i="4"/>
  <c r="J48" i="4"/>
  <c r="I49" i="4"/>
  <c r="I48" i="4"/>
  <c r="H49" i="4"/>
  <c r="H48" i="4"/>
  <c r="G47" i="4"/>
  <c r="G46" i="4"/>
  <c r="G45" i="4"/>
  <c r="J44" i="4"/>
  <c r="J43" i="4"/>
  <c r="I44" i="4"/>
  <c r="I43" i="4"/>
  <c r="H44" i="4"/>
  <c r="H43" i="4"/>
  <c r="G42" i="4"/>
  <c r="G41" i="4"/>
  <c r="G40" i="4"/>
  <c r="J39" i="4"/>
  <c r="J38" i="4"/>
  <c r="I39" i="4"/>
  <c r="I38" i="4"/>
  <c r="H39" i="4"/>
  <c r="H38" i="4"/>
  <c r="G37" i="4"/>
  <c r="G36" i="4"/>
  <c r="G35" i="4"/>
  <c r="G34" i="4"/>
  <c r="J33" i="4"/>
  <c r="J32" i="4"/>
  <c r="I33" i="4"/>
  <c r="I32" i="4"/>
  <c r="H33" i="4"/>
  <c r="H32" i="4"/>
  <c r="G32" i="4"/>
  <c r="G31" i="4"/>
  <c r="H30" i="4"/>
  <c r="G30" i="4"/>
  <c r="H29" i="4"/>
  <c r="G29" i="4"/>
  <c r="J28" i="4"/>
  <c r="J27" i="4"/>
  <c r="I28" i="4"/>
  <c r="I27" i="4"/>
  <c r="H26" i="4"/>
  <c r="G26" i="4"/>
  <c r="H24" i="4"/>
  <c r="G24" i="4"/>
  <c r="G22" i="4"/>
  <c r="H23" i="4"/>
  <c r="G23" i="4"/>
  <c r="J22" i="4"/>
  <c r="J21" i="4"/>
  <c r="I22" i="4"/>
  <c r="I21" i="4"/>
  <c r="G20" i="4"/>
  <c r="J19" i="4"/>
  <c r="J17" i="4"/>
  <c r="J15" i="4"/>
  <c r="J14" i="4"/>
  <c r="I19" i="4"/>
  <c r="I17" i="4"/>
  <c r="I15" i="4"/>
  <c r="I14" i="4"/>
  <c r="H17" i="4"/>
  <c r="H15" i="4"/>
  <c r="H14" i="4"/>
  <c r="H16" i="4"/>
  <c r="G16" i="4"/>
  <c r="I173" i="4"/>
  <c r="I172" i="4"/>
  <c r="H173" i="4"/>
  <c r="H172" i="4"/>
  <c r="H100" i="4"/>
  <c r="H99" i="4"/>
  <c r="H294" i="4"/>
  <c r="H293" i="4"/>
  <c r="G293" i="4"/>
  <c r="H65" i="4"/>
  <c r="G65" i="4"/>
  <c r="H238" i="4"/>
  <c r="H237" i="4"/>
  <c r="G256" i="4"/>
  <c r="G19" i="4"/>
  <c r="G61" i="4"/>
  <c r="G180" i="4"/>
  <c r="H189" i="4"/>
  <c r="H188" i="4"/>
  <c r="H260" i="4"/>
  <c r="G260" i="4"/>
  <c r="I59" i="4"/>
  <c r="I58" i="4"/>
  <c r="I56" i="4"/>
  <c r="G56" i="4"/>
  <c r="G67" i="4"/>
  <c r="H76" i="4"/>
  <c r="H75" i="4"/>
  <c r="G136" i="4"/>
  <c r="G134" i="4"/>
  <c r="H198" i="4"/>
  <c r="G198" i="4"/>
  <c r="J275" i="4"/>
  <c r="J274" i="4"/>
  <c r="J272" i="4"/>
  <c r="G176" i="4"/>
  <c r="H215" i="4"/>
  <c r="G215" i="4"/>
  <c r="H243" i="4"/>
  <c r="H242" i="4"/>
  <c r="H240" i="4"/>
  <c r="I275" i="4"/>
  <c r="I274" i="4"/>
  <c r="G141" i="4"/>
  <c r="H204" i="4"/>
  <c r="G266" i="4"/>
  <c r="H203" i="4"/>
  <c r="H201" i="4"/>
  <c r="H212" i="4"/>
  <c r="G254" i="4"/>
  <c r="G276" i="4"/>
  <c r="G275" i="4"/>
  <c r="H28" i="4"/>
  <c r="H27" i="4"/>
  <c r="H105" i="4"/>
  <c r="H122" i="4"/>
  <c r="H221" i="4"/>
  <c r="G221" i="4"/>
  <c r="H220" i="4"/>
  <c r="G261" i="4"/>
  <c r="H22" i="4"/>
  <c r="H21" i="4"/>
  <c r="G21" i="4"/>
  <c r="H117" i="4"/>
  <c r="G117" i="4"/>
  <c r="G284" i="4"/>
  <c r="G299" i="4"/>
  <c r="G298" i="4"/>
  <c r="G296" i="4"/>
  <c r="G204" i="4"/>
  <c r="G39" i="4"/>
  <c r="G38" i="4"/>
  <c r="I215" i="4"/>
  <c r="I259" i="4"/>
  <c r="I257" i="4"/>
  <c r="G294" i="4"/>
  <c r="I220" i="4"/>
  <c r="I218" i="4"/>
  <c r="H121" i="4"/>
  <c r="H119" i="4"/>
  <c r="G119" i="4"/>
  <c r="G122" i="4"/>
  <c r="H116" i="4"/>
  <c r="G86" i="4"/>
  <c r="G189" i="4"/>
  <c r="H210" i="4"/>
  <c r="H170" i="4"/>
  <c r="I278" i="4"/>
  <c r="I272" i="4"/>
  <c r="G283" i="4"/>
  <c r="H281" i="4"/>
  <c r="H259" i="4"/>
  <c r="H257" i="4"/>
  <c r="G257" i="4"/>
  <c r="H79" i="4"/>
  <c r="H73" i="4"/>
  <c r="G76" i="4"/>
  <c r="H64" i="4"/>
  <c r="H62" i="4"/>
  <c r="G62" i="4"/>
  <c r="I62" i="4"/>
  <c r="G237" i="4"/>
  <c r="H235" i="4"/>
  <c r="G235" i="4"/>
  <c r="G230" i="4"/>
  <c r="H228" i="4"/>
  <c r="G228" i="4"/>
  <c r="I124" i="4"/>
  <c r="I210" i="4"/>
  <c r="G212" i="4"/>
  <c r="I267" i="4"/>
  <c r="G267" i="4"/>
  <c r="G269" i="4"/>
  <c r="H264" i="4"/>
  <c r="G213" i="4"/>
  <c r="I12" i="4"/>
  <c r="G100" i="4"/>
  <c r="G226" i="4"/>
  <c r="G210" i="4"/>
  <c r="G126" i="4"/>
  <c r="G73" i="4"/>
  <c r="G121" i="4"/>
  <c r="G64" i="4"/>
  <c r="H197" i="4"/>
  <c r="H195" i="4"/>
  <c r="G195" i="4"/>
  <c r="G270" i="4"/>
  <c r="G75" i="4"/>
  <c r="G33" i="4"/>
  <c r="G44" i="4"/>
  <c r="G43" i="4"/>
  <c r="J210" i="4"/>
  <c r="J12" i="4"/>
  <c r="G139" i="4"/>
  <c r="G238" i="4"/>
  <c r="G59" i="4"/>
  <c r="G240" i="4"/>
  <c r="G28" i="4"/>
  <c r="G27" i="4"/>
  <c r="H157" i="4"/>
  <c r="G158" i="4"/>
  <c r="H278" i="4"/>
  <c r="G279" i="4"/>
  <c r="G281" i="4"/>
  <c r="G105" i="4"/>
  <c r="H104" i="4"/>
  <c r="G104" i="4"/>
  <c r="G259" i="4"/>
  <c r="G58" i="4"/>
  <c r="G243" i="4"/>
  <c r="G242" i="4"/>
  <c r="G53" i="4"/>
  <c r="H218" i="4"/>
  <c r="G218" i="4"/>
  <c r="G220" i="4"/>
  <c r="G201" i="4"/>
  <c r="I170" i="4"/>
  <c r="G170" i="4"/>
  <c r="G172" i="4"/>
  <c r="G84" i="4"/>
  <c r="J124" i="4"/>
  <c r="H246" i="4"/>
  <c r="I79" i="4"/>
  <c r="G79" i="4"/>
  <c r="G81" i="4"/>
  <c r="G116" i="4"/>
  <c r="H114" i="4"/>
  <c r="G114" i="4"/>
  <c r="G188" i="4"/>
  <c r="H186" i="4"/>
  <c r="G186" i="4"/>
  <c r="G127" i="4"/>
  <c r="G165" i="4"/>
  <c r="H291" i="4"/>
  <c r="G291" i="4"/>
  <c r="H262" i="4"/>
  <c r="G262" i="4"/>
  <c r="G264" i="4"/>
  <c r="G203" i="4"/>
  <c r="H225" i="4"/>
  <c r="G99" i="4"/>
  <c r="G138" i="4"/>
  <c r="G249" i="4"/>
  <c r="I248" i="4"/>
  <c r="I246" i="4"/>
  <c r="J97" i="4"/>
  <c r="H97" i="4"/>
  <c r="G97" i="4"/>
  <c r="G197" i="4"/>
  <c r="G157" i="4"/>
  <c r="H124" i="4"/>
  <c r="G124" i="4"/>
  <c r="G278" i="4"/>
  <c r="H272" i="4"/>
  <c r="G272" i="4"/>
  <c r="G246" i="4"/>
  <c r="H223" i="4"/>
  <c r="G223" i="4"/>
  <c r="G225" i="4"/>
  <c r="G248" i="4"/>
  <c r="I251" i="4"/>
  <c r="G253" i="4"/>
  <c r="G251" i="4"/>
  <c r="I302" i="4"/>
  <c r="H12" i="4"/>
  <c r="H302" i="4"/>
  <c r="G14" i="4"/>
  <c r="G12" i="4"/>
  <c r="G302" i="4"/>
  <c r="G1060" i="4"/>
  <c r="G17" i="4"/>
  <c r="G15" i="4"/>
</calcChain>
</file>

<file path=xl/sharedStrings.xml><?xml version="1.0" encoding="utf-8"?>
<sst xmlns="http://schemas.openxmlformats.org/spreadsheetml/2006/main" count="791" uniqueCount="455">
  <si>
    <t>Загальний фонд</t>
  </si>
  <si>
    <t>Спеціальний фонд</t>
  </si>
  <si>
    <t>у тому числі:</t>
  </si>
  <si>
    <t>Обласна рада</t>
  </si>
  <si>
    <t>0490</t>
  </si>
  <si>
    <t>Департамент охорони здоров’я Дніпропетровської обласної державної адміністрації</t>
  </si>
  <si>
    <t>0763</t>
  </si>
  <si>
    <t>0990</t>
  </si>
  <si>
    <t>0180</t>
  </si>
  <si>
    <t>1040</t>
  </si>
  <si>
    <t>Служба у справах дітей Дніпропетровської обласної державної адміністрації</t>
  </si>
  <si>
    <t>Департамент соціального захисту населення Дніпропетровської обласної державної адміністрації</t>
  </si>
  <si>
    <t>1090</t>
  </si>
  <si>
    <t>1030</t>
  </si>
  <si>
    <t>1010</t>
  </si>
  <si>
    <t>0829</t>
  </si>
  <si>
    <t>0810</t>
  </si>
  <si>
    <t>Проведення навчально-тренувальних зборів і змагань з неолімпійських видів спорту</t>
  </si>
  <si>
    <t>Департамент житлово-комунального господарства та будівництва Дніпропетровської обласної державної адміністрації</t>
  </si>
  <si>
    <t>0460</t>
  </si>
  <si>
    <t>0320</t>
  </si>
  <si>
    <t>0456</t>
  </si>
  <si>
    <t>Департамент економічного розвитку  Дніпропетровської обласної державної адміністрації</t>
  </si>
  <si>
    <t>1060</t>
  </si>
  <si>
    <t>0133</t>
  </si>
  <si>
    <t>0470</t>
  </si>
  <si>
    <t>0900000</t>
  </si>
  <si>
    <t>0910000</t>
  </si>
  <si>
    <t>0100000</t>
  </si>
  <si>
    <t>0110000</t>
  </si>
  <si>
    <t>Заходи державної політики з питань дітей та їх соціального захисту</t>
  </si>
  <si>
    <t>Проведення навчально-тренувальних зборів і змагань з олімпійських видів спорту</t>
  </si>
  <si>
    <t>Внески до статутного капіталу суб’єктів господарювання</t>
  </si>
  <si>
    <t>5031</t>
  </si>
  <si>
    <t>5033</t>
  </si>
  <si>
    <t>5022</t>
  </si>
  <si>
    <t>5061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</si>
  <si>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</si>
  <si>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</si>
  <si>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9770</t>
  </si>
  <si>
    <t>0700000</t>
  </si>
  <si>
    <t>0710000</t>
  </si>
  <si>
    <t>0800000</t>
  </si>
  <si>
    <t>0810000</t>
  </si>
  <si>
    <t>1100000</t>
  </si>
  <si>
    <t>1110000</t>
  </si>
  <si>
    <t>3131</t>
  </si>
  <si>
    <t>1113131</t>
  </si>
  <si>
    <t>3123</t>
  </si>
  <si>
    <t>0813123</t>
  </si>
  <si>
    <t>0913112</t>
  </si>
  <si>
    <t>0813090</t>
  </si>
  <si>
    <t>0813105</t>
  </si>
  <si>
    <t>1115011</t>
  </si>
  <si>
    <t>1115012</t>
  </si>
  <si>
    <t>1115022</t>
  </si>
  <si>
    <t>1115033</t>
  </si>
  <si>
    <t>1115061</t>
  </si>
  <si>
    <t>1115062</t>
  </si>
  <si>
    <t>0117670</t>
  </si>
  <si>
    <t>7670</t>
  </si>
  <si>
    <t>1200000</t>
  </si>
  <si>
    <t>1210000</t>
  </si>
  <si>
    <t>2010000</t>
  </si>
  <si>
    <t>2017520</t>
  </si>
  <si>
    <t>7520</t>
  </si>
  <si>
    <t>Реалізація Національної програми інформатизації</t>
  </si>
  <si>
    <t>8110</t>
  </si>
  <si>
    <t>2700000</t>
  </si>
  <si>
    <t>2710000</t>
  </si>
  <si>
    <t>Реалізація інших заходів щодо соціально-економічного розвитку територій</t>
  </si>
  <si>
    <t>Інша діяльність у сфері державного управління</t>
  </si>
  <si>
    <t>0110180</t>
  </si>
  <si>
    <t>1115031</t>
  </si>
  <si>
    <t>7693</t>
  </si>
  <si>
    <t>2900000</t>
  </si>
  <si>
    <t>2910000</t>
  </si>
  <si>
    <t>2918110</t>
  </si>
  <si>
    <t>1216084</t>
  </si>
  <si>
    <t>6084</t>
  </si>
  <si>
    <t>0610</t>
  </si>
  <si>
    <t>1218821</t>
  </si>
  <si>
    <t>8821</t>
  </si>
  <si>
    <t>1218831</t>
  </si>
  <si>
    <t>8831</t>
  </si>
  <si>
    <t>2000000</t>
  </si>
  <si>
    <t>0117693</t>
  </si>
  <si>
    <t>Додаток 7</t>
  </si>
  <si>
    <t>Усього</t>
  </si>
  <si>
    <t>Заходи державної політики з питань сім’ї</t>
  </si>
  <si>
    <t>Департамент економічного розвитку Дніпропетровської обласної державної адміністрації</t>
  </si>
  <si>
    <t xml:space="preserve">Витрати, пов’язані з наданням та обслуговуванням пільгових довгострокових кредитів, наданих громадянам на будівництво/реконструкцію/придбання житла </t>
  </si>
  <si>
    <t>Заходи із запобігання та ліквідації надзвичайних ситуацій та наслідків стихійного лиха</t>
  </si>
  <si>
    <t>2717370</t>
  </si>
  <si>
    <t>7370</t>
  </si>
  <si>
    <t>0913242</t>
  </si>
  <si>
    <t>Інші заходи у сфері соціального захисту і соціального забезпечення</t>
  </si>
  <si>
    <t>0712152</t>
  </si>
  <si>
    <t>2152</t>
  </si>
  <si>
    <t>Інші програми та заходи у сфері освіти</t>
  </si>
  <si>
    <t>0813241</t>
  </si>
  <si>
    <t>3241</t>
  </si>
  <si>
    <t>0813242</t>
  </si>
  <si>
    <t>3242</t>
  </si>
  <si>
    <t>Інші заходи в галузі культури і мистецтва</t>
  </si>
  <si>
    <t>4082</t>
  </si>
  <si>
    <t>3171</t>
  </si>
  <si>
    <t>0813171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</si>
  <si>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</si>
  <si>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Код Функціональної класифікації видатків та кредитування бюджету</t>
  </si>
  <si>
    <t>2151</t>
  </si>
  <si>
    <t>0712151</t>
  </si>
  <si>
    <t>8340</t>
  </si>
  <si>
    <t>0540</t>
  </si>
  <si>
    <t>Природоохоронні заходи за рахунок цільових фондів</t>
  </si>
  <si>
    <t>2810000</t>
  </si>
  <si>
    <t>Департамент екології та природних ресурсів Дніпропетровської обласної державної адміністрації</t>
  </si>
  <si>
    <t>2818340</t>
  </si>
  <si>
    <t>1500000</t>
  </si>
  <si>
    <t>Департамент капітального будівництва Дніпропетровської обласної державної адміністрації</t>
  </si>
  <si>
    <t>1510000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</si>
  <si>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</si>
  <si>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</si>
  <si>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</si>
  <si>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3105</t>
  </si>
  <si>
    <t>0600000</t>
  </si>
  <si>
    <t>Департамент освіти і науки Дніпропетровської обласної державної адміністрації</t>
  </si>
  <si>
    <t>0610000</t>
  </si>
  <si>
    <t>Забезпечення діяльності інших закладів у сфері освіти</t>
  </si>
  <si>
    <t>5011</t>
  </si>
  <si>
    <t>5012</t>
  </si>
  <si>
    <t>0615012</t>
  </si>
  <si>
    <t>Надання довгострокових кредитів індивідуальним забудовникам житла на селі</t>
  </si>
  <si>
    <t>2800000</t>
  </si>
  <si>
    <t>1113133</t>
  </si>
  <si>
    <t>3133</t>
  </si>
  <si>
    <t>(код бюджету)</t>
  </si>
  <si>
    <t>у тому числі бюджет розвитку</t>
  </si>
  <si>
    <t>Код Типової програмної класифікації видатків та кредитуваня місцевого бюджету</t>
  </si>
  <si>
    <t>УСЬОГО</t>
  </si>
  <si>
    <t>Код Програмної класифікації видатків та кредитування місцевого бюджету</t>
  </si>
  <si>
    <t>усього</t>
  </si>
  <si>
    <t>0819770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</si>
  <si>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</si>
  <si>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0712020</t>
  </si>
  <si>
    <t>2020</t>
  </si>
  <si>
    <t>0732</t>
  </si>
  <si>
    <t>Спеціалізована стаціонарна медична допомога населенню</t>
  </si>
  <si>
    <t>0712090</t>
  </si>
  <si>
    <t>2090</t>
  </si>
  <si>
    <t>0722</t>
  </si>
  <si>
    <t>Спеціалізована амбулаторно-поліклінічна допомога населенню</t>
  </si>
  <si>
    <t>0712130</t>
  </si>
  <si>
    <t>2130</t>
  </si>
  <si>
    <t>1142</t>
  </si>
  <si>
    <t>9090</t>
  </si>
  <si>
    <t>0611142</t>
  </si>
  <si>
    <t>0611141</t>
  </si>
  <si>
    <t>1141</t>
  </si>
  <si>
    <t>Інші заходи, пов’язані з економічною діяльністю</t>
  </si>
  <si>
    <t>Інші програми та заходи у сфері охорони здоров’я</t>
  </si>
  <si>
    <t>1000000</t>
  </si>
  <si>
    <t>1010000</t>
  </si>
  <si>
    <t>Управління культури, туризму, національностей і релігій Дніпропетровської обласної державної адміністрації</t>
  </si>
  <si>
    <t>0824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</si>
  <si>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</si>
  <si>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</si>
  <si>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</si>
  <si>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</si>
  <si>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</si>
  <si>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</si>
  <si>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</si>
  <si>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1014082</t>
  </si>
  <si>
    <t>2500000</t>
  </si>
  <si>
    <t>Управління зовнішньоекономічної діяльності Дніпропетровської обласної державної адміністрації</t>
  </si>
  <si>
    <t>2510000</t>
  </si>
  <si>
    <t>2517630</t>
  </si>
  <si>
    <t>7630</t>
  </si>
  <si>
    <t>Реалізація програм і заходів в галузі зовнішньоекономічної діяльності</t>
  </si>
  <si>
    <t>3200000</t>
  </si>
  <si>
    <t>3210000</t>
  </si>
  <si>
    <t>3214082</t>
  </si>
  <si>
    <t>2300000</t>
  </si>
  <si>
    <t>2310000</t>
  </si>
  <si>
    <t>2311142</t>
  </si>
  <si>
    <t>0913241</t>
  </si>
  <si>
    <t>Департамент цифрової трансформації, інформаційних технологій та електронного урядування Дніпропетровської обласної державної адміністрації</t>
  </si>
  <si>
    <t>Департамент інформаційної діяльності та комунікацій з громадськістю  Дніпропетровської обласної державної адміністраціїї</t>
  </si>
  <si>
    <t>1517370</t>
  </si>
  <si>
    <t>0830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</si>
  <si>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</si>
  <si>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</si>
  <si>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</si>
  <si>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(грн)</t>
  </si>
  <si>
    <t>Найменування обласної/регіональної програми</t>
  </si>
  <si>
    <t>Дата і номер документа, яким затверджено обласну регіональну програму</t>
  </si>
  <si>
    <t>Управління протокольних та масових заходів Дніпропетровської обласної державної адміністрації</t>
  </si>
  <si>
    <t>х</t>
  </si>
  <si>
    <t>9800</t>
  </si>
  <si>
    <t>Надання пільгових довгострокових кредитів молодим сім’ям та одиноким молодим громадянам на будівництво/реконструкцію/придбання житла</t>
  </si>
  <si>
    <t>Субвенція з місцевого бюджету державному бюджету на виконання програм соціально-економічного розвитку регіонів</t>
  </si>
  <si>
    <t>Регіональна програма забезпечення громадського порядку та громадської безпеки на території Дніпропетровської області на період до 2025 року</t>
  </si>
  <si>
    <t>2200000</t>
  </si>
  <si>
    <t>2210000</t>
  </si>
  <si>
    <t>2219800</t>
  </si>
  <si>
    <t>Управління взаємодії з правоохоронними органами та оборонної роботи Дніпропетровської обласної державної адміністрації</t>
  </si>
  <si>
    <t>2919800</t>
  </si>
  <si>
    <t>Департамент фінансів Дніпропетровської обласної державної адміністрації</t>
  </si>
  <si>
    <t>3710000</t>
  </si>
  <si>
    <t>3719800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</si>
  <si>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</si>
  <si>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0611130</t>
  </si>
  <si>
    <t>1130</t>
  </si>
  <si>
    <t>Методичне забезпечення діяльності закладів освіти</t>
  </si>
  <si>
    <t xml:space="preserve">                  </t>
  </si>
  <si>
    <t>Проведення належної медико-соціальної експертизи (МСЕК)</t>
  </si>
  <si>
    <t>Видатки на поховання учасників бойових дій та осіб з інвалідністю внаслідок війни</t>
  </si>
  <si>
    <t>Надання реабілітаційних послуг особам з інвалідністю та дітям з інвалідністю</t>
  </si>
  <si>
    <t>Проведення навчально-тренувальних зборів і змагань та заходів зі спорту осіб з інвалідністю</t>
  </si>
  <si>
    <t>Забезпечення підготовки спортсменів школами вищої спортивної майстерності</t>
  </si>
  <si>
    <t xml:space="preserve"> 0410000000</t>
  </si>
  <si>
    <t>Забезпечення діяльності інших закладів у сфері охорони здоров’я</t>
  </si>
  <si>
    <t>0119770</t>
  </si>
  <si>
    <t>Інші субвенції з місцевого бюджету,</t>
  </si>
  <si>
    <t>0443</t>
  </si>
  <si>
    <t>1517381</t>
  </si>
  <si>
    <t>7381</t>
  </si>
  <si>
    <t>1517330</t>
  </si>
  <si>
    <t>7330</t>
  </si>
  <si>
    <t>2717610</t>
  </si>
  <si>
    <t>7610</t>
  </si>
  <si>
    <t>0411</t>
  </si>
  <si>
    <t>Сприяння розвитку малого та середнього підприємництва</t>
  </si>
  <si>
    <t>Департамент цивільного захисту Дніпропетровської обласної державної адміністрації</t>
  </si>
  <si>
    <t>1600000</t>
  </si>
  <si>
    <t>Управління містобудування та архітектури Дніпропетровської обласної державної адміністрації</t>
  </si>
  <si>
    <t>1610000</t>
  </si>
  <si>
    <t>1617350</t>
  </si>
  <si>
    <t>7350</t>
  </si>
  <si>
    <t>Розроблення схем планування та забудови територій (містобудівної документації)</t>
  </si>
  <si>
    <t>від 13.12.2019
№ 535-20/VІІ 
(із змінами)</t>
  </si>
  <si>
    <t>від 21.06.2013
№ 438-19/VІ
 (із змінами)</t>
  </si>
  <si>
    <t>від 27.12.2011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225-10/VІ 
(із змінами)</t>
  </si>
  <si>
    <t>від 03.12.2021
№ 154-9/VІІІ 
 (із змінами)</t>
  </si>
  <si>
    <t>від 02.12.2016
№ 122-7/VII 
(із змінами)</t>
  </si>
  <si>
    <t>від 21.10.2015
№ 680-34/VI
 (із змінами)</t>
  </si>
  <si>
    <t>від 09.10.2020
№ 645-25/VII 
(із змінами)</t>
  </si>
  <si>
    <t>від 02.12.2016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121-7/VІІ 
(із змінами)</t>
  </si>
  <si>
    <t>від 02.12.2016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126-7/VІІ 
(із змінами)</t>
  </si>
  <si>
    <t xml:space="preserve">від 26.02.2021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 28-4/VІІІ 
(із змінами) </t>
  </si>
  <si>
    <t>від 05.06.2020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600-23/VІІ 
(із змінами)</t>
  </si>
  <si>
    <t>від 06.08.2021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97-7/VIII 
(із змінами)</t>
  </si>
  <si>
    <t>від 25.03.2016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30-3/VІІ 
(із змінами)</t>
  </si>
  <si>
    <t>від 26.02.2021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27-4/VІІІ 
(із змінами)</t>
  </si>
  <si>
    <t>від 19.02.2016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15-2/VІІ 
(із змінами)</t>
  </si>
  <si>
    <t>від 16.02.2022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170-10/VІІІ 
(із змінами)</t>
  </si>
  <si>
    <t>від 15.03.2013
№ 421-18/VІ 
(із змінами)</t>
  </si>
  <si>
    <t>1011142</t>
  </si>
  <si>
    <t>від 26.02.2021
 № 26-4/VІІІ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</si>
  <si>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215-13/VIII 
(із змінами)</t>
  </si>
  <si>
    <t>субвенція з обласного бюджету місцевим бюджетам на забезпечення окремих видатків районних рад, спрямованих на виконання їх повноважень</t>
  </si>
  <si>
    <t>5110000</t>
  </si>
  <si>
    <t>5100000</t>
  </si>
  <si>
    <t>5111142</t>
  </si>
  <si>
    <t>5114082</t>
  </si>
  <si>
    <t>5115061</t>
  </si>
  <si>
    <t>Управління з питань ветеранської політики  Дніпропетровської обласної державної адміністрації</t>
  </si>
  <si>
    <t xml:space="preserve">Програма розвитку місцевого самоврядування у Дніпропетровській області на 2012 – 2026 роки </t>
  </si>
  <si>
    <t>Регіональна цільова соціальна програма розвитку сімейної та гендерної політики у Дніпропетровській області на 2023 – 2027 роки</t>
  </si>
  <si>
    <t xml:space="preserve">Програма розвитку культури у Дніпропетровській області на 2017 – 2025 роки </t>
  </si>
  <si>
    <t>Програма розвитку та функціонування української мови як державної в усіх сферах суспільного життя у Дніпропетровській області на 2022 – 2030 роки</t>
  </si>
  <si>
    <t>Будівництво інших об’єктів комунальної власності</t>
  </si>
  <si>
    <t>0813191</t>
  </si>
  <si>
    <t>3191</t>
  </si>
  <si>
    <t>Інші видатки на соціальний захист ветеранів війни та праці</t>
  </si>
  <si>
    <t>Регіональна програма оздоровлення та відпочинку дітей Дніпропетровської області у 2014 – 2025 роках</t>
  </si>
  <si>
    <t xml:space="preserve"> </t>
  </si>
  <si>
    <t>від 27.12.2013
№ 507-23/VІ 
(із змінами)</t>
  </si>
  <si>
    <t>до рішення обласної ради</t>
  </si>
  <si>
    <t xml:space="preserve">Заступник голови обласної ради      </t>
  </si>
  <si>
    <t>1115051</t>
  </si>
  <si>
    <t>5051</t>
  </si>
  <si>
    <t>0813140</t>
  </si>
  <si>
    <t>1519750</t>
  </si>
  <si>
    <t>9750</t>
  </si>
  <si>
    <t>Субвенція з місцевого бюджету на співфінансування інвестиційних проектів</t>
  </si>
  <si>
    <t>Управління молоді і спорту Дніпропетровської обласної державної адміністрації</t>
  </si>
  <si>
    <t>Заходи та роботи з територіальної оборони</t>
  </si>
  <si>
    <t>2218240</t>
  </si>
  <si>
    <t>0380</t>
  </si>
  <si>
    <t>Програма розвитку й підтримки сфери надання адміністративних послуг у Дніпропетровській області на 2024 – 2026 роки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</si>
  <si>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</si>
  <si>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Розподіл витрат обласного бюджету на реалізацію обласних/регіональних програм у 2025 році</t>
  </si>
  <si>
    <t>Програма сприяння розвитку громадянського суспільства у Дніпропетровській області 
на 2017 – 2026 роки</t>
  </si>
  <si>
    <t>Регіональна міжгалузева Програма підтримки комунальних підприємств (установ), що належать до спільної власності територіальних громад сіл, селищ та міст Дніпропетровської області, 
на 2013 – 2028 роки</t>
  </si>
  <si>
    <t>Регіональна цільова соціальна програма “Освіта Дніпропетровщини до 2027 року”</t>
  </si>
  <si>
    <t>Комплексна програма соціального захисту населення Дніпропетровської області 
на 2025 – 2029 роки</t>
  </si>
  <si>
    <t xml:space="preserve">від 27.09.2024
№ 426-21/VIІI 
</t>
  </si>
  <si>
    <t>Комплексна програма підтримки ветеранів війни, членів їх сімей, членів сімей загиблих (померлих) ветеранів війни, членів сімей загиблих (померлих) Захисників і Захисниць України Дніпропетровської області на 2024 – 2028 роки</t>
  </si>
  <si>
    <t>5113241</t>
  </si>
  <si>
    <t>1511300</t>
  </si>
  <si>
    <t>1300</t>
  </si>
  <si>
    <t>Будівництво  освітніх установ та закладів</t>
  </si>
  <si>
    <t>1512170</t>
  </si>
  <si>
    <t>2170</t>
  </si>
  <si>
    <t>Будівництво закладів охорони здоров’я</t>
  </si>
  <si>
    <t>2717110</t>
  </si>
  <si>
    <t>7110</t>
  </si>
  <si>
    <t>0421</t>
  </si>
  <si>
    <t>Реалізація програм в галузі сільського господарства</t>
  </si>
  <si>
    <t>Фінансова підтримка медіа (засобів масової інформації)</t>
  </si>
  <si>
    <t>8420</t>
  </si>
  <si>
    <t>2318420</t>
  </si>
  <si>
    <t>Інші заходи у сфері медіа (засобів масової інформації)</t>
  </si>
  <si>
    <t xml:space="preserve">від 08.12.2023  
 № 336-18/VIII                                                                                                                                                                                                                                                                                                                                                                            (із змінами) </t>
  </si>
  <si>
    <t>від 21.06.2024 
№ 394-20/VIII         
(із змінами)</t>
  </si>
  <si>
    <t>від 19.10.2018
№ 374-14/VІІ
 (із змінами)</t>
  </si>
  <si>
    <t>Програма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</si>
  <si>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Програма “Регіональний план реформування системи інституційного догляду та виховання дітей з одночасним розвитком послуг для дітей та сімей з дітьми в громадах Дніпропетровської області на 2020 – 2027 роки”</t>
  </si>
  <si>
    <t>Регіональна цільова програма захисту населення і територій від надзвичайних ситуацій техногенного та природного характеру, забезпечення пожежної безпеки Дніпропетровської області на 2021 – 2025 роки</t>
  </si>
  <si>
    <t>Програма територіальної оборони Дніпропетровської області та забезпечення заходів мобілізації на 2022 – 2025 роки</t>
  </si>
  <si>
    <t>Програма розвитку малого та середнього підприємництва в Дніпропетровській області на 2025 – 2026 роки</t>
  </si>
  <si>
    <t>Програма створення та ведення містобудівного кадастру Дніпропетровської області на 2013 – 2027 роки</t>
  </si>
  <si>
    <t>Комплексна програма підтримки агропромислового комплексу Дніпропетровської області у 2025 – 2029 роках</t>
  </si>
  <si>
    <t>Забезпечення молодіжними центрами соціального
становлення та розвитку молоді та інші заходи у
сфері молодіжної політики</t>
  </si>
  <si>
    <t>Надання комплексу послуг особам/сім’ям у сфері
соціального захисту та соціального забезпечення
іншими надавачами соціальних послуг</t>
  </si>
  <si>
    <t xml:space="preserve">від 13.12.2024
№ 459-23/VІІІ </t>
  </si>
  <si>
    <t>Розвиток здібностей у дітей та молоді з фізичної
культури та спорту комунальними дитячо-юнацькими спортивними школами</t>
  </si>
  <si>
    <t>0615021</t>
  </si>
  <si>
    <t>5021</t>
  </si>
  <si>
    <t>Розвиток фізичної культури і спорту осіб (дітей) з
інвалідністю центрами з фізичної культури і
спорту та дитячо-юнацькими спортивними
школами осіб з інвалідністю</t>
  </si>
  <si>
    <t>Забезпечення діяльності місцевих центрів фізичного здоров’я населення “Спорт для всіх” та проведення фізкультурно-масових заходів серед населення регіону</t>
  </si>
  <si>
    <t>Фінансова підтримка регіональних всеукраїнських об’єднань фізкультурно-спортивної спрямованості для проведення навчально-тренувальної та спортивної роботи</t>
  </si>
  <si>
    <t>Реалізація проектів в рамках Програми з відновлення України</t>
  </si>
  <si>
    <t>7366</t>
  </si>
  <si>
    <t>6083</t>
  </si>
  <si>
    <t>1516083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</si>
  <si>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</si>
  <si>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1517366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</si>
  <si>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</si>
  <si>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</si>
  <si>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“Нова українська школа” за рахунок субвенції з державного бюджету місцевим бюджетам</t>
  </si>
  <si>
    <t>0611252</t>
  </si>
  <si>
    <t>1252</t>
  </si>
  <si>
    <t>Виконання заходів щодо реалізації публічного інвестиційного проекту на безперешкодний доступ до якісної освіти – шкільні автобуси за рахунок субвенції з державного бюджету місцевим бюджетам</t>
  </si>
  <si>
    <t>1517384</t>
  </si>
  <si>
    <t>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</si>
  <si>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</si>
  <si>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1218340</t>
  </si>
  <si>
    <t>субвенція з обласного бюджету до місцевих бюджетів на соціально-економічний розвиток окремих територій</t>
  </si>
  <si>
    <t>субвенція з обласного бюджету до бюджету Криворізької міської територіальної громади для здійснення заходів, в тому числі з енергозбереження, на об’єктах теплопостачання комунальної власності міста Кривий Ріг в умовах збройної агресії Російської Федерації проти України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</si>
  <si>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</si>
  <si>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</si>
  <si>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</si>
  <si>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</si>
  <si>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</si>
  <si>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– шкільні автобуси</t>
  </si>
  <si>
    <t>1519770</t>
  </si>
  <si>
    <t>2819800</t>
  </si>
  <si>
    <t>1517693</t>
  </si>
  <si>
    <t>Інші заходи, пов'язані з економічною діяльністю</t>
  </si>
  <si>
    <t>0712010</t>
  </si>
  <si>
    <t>2010</t>
  </si>
  <si>
    <t>0731</t>
  </si>
  <si>
    <t>Багатопрофільна стаціонарна медична допомога населенню</t>
  </si>
  <si>
    <t>1217463</t>
  </si>
  <si>
    <t>7463</t>
  </si>
  <si>
    <t>Утримання та розвиток автомобільних доріг  та дорожньої інфраструктури за рахунок трансфертів з інших місцевих бюджетів</t>
  </si>
  <si>
    <t>за рахунок субвенції з державного бюджету</t>
  </si>
  <si>
    <t>Реалізація проектів у рамках Надзвичайної кредитної програми для відновлення України,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</si>
  <si>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 217-13/VІII 
 (із змінами)</t>
  </si>
  <si>
    <t>Регіональна соціальна програма запобігання та протидії домашньому насильству та насильству за ознакою статі в Дніпропетровській області на період до 2025 року</t>
  </si>
  <si>
    <t>1217462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</si>
  <si>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</si>
  <si>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</si>
  <si>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5113192</t>
  </si>
  <si>
    <t>3192</t>
  </si>
  <si>
    <t>Надання фінансової підтримки громадським об’єднанням ветеранів і осіб з інвалідністю, діяльність яких має соціальну спрямованість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</si>
  <si>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</si>
  <si>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</si>
  <si>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</si>
  <si>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</si>
  <si>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0611221</t>
  </si>
  <si>
    <t>1221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</si>
  <si>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</si>
  <si>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0611222</t>
  </si>
  <si>
    <t>1278</t>
  </si>
  <si>
    <t>0611278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</si>
  <si>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</si>
  <si>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1222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</si>
  <si>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шкільних автобусів</t>
  </si>
  <si>
    <t xml:space="preserve"> від 27.09.2024
№ 425-21/VIIІ 
(із змінами)
</t>
  </si>
  <si>
    <t>2210180</t>
  </si>
  <si>
    <t>2019770</t>
  </si>
  <si>
    <t>субвенція з обласного бюджету місцевим бюджетам для придбання мобільних автоматизованих робочих місць адміністратора Центру надання адміністративних послуг</t>
  </si>
  <si>
    <t>субвенція з обласного бюджету Дніпропетровської області до обласного бюджету Закарпатської області для організації надання соціальних послуг стаціонарного догляду для дітей з інвалідністю</t>
  </si>
  <si>
    <t>0712070</t>
  </si>
  <si>
    <t>1014030</t>
  </si>
  <si>
    <t>4030</t>
  </si>
  <si>
    <t>Забезпечення діяльності бібліотек</t>
  </si>
  <si>
    <t>2070</t>
  </si>
  <si>
    <t>Екстрена та швидка медична допомога населенню</t>
  </si>
  <si>
    <t>0724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</si>
  <si>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</si>
  <si>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“Молодь України”</t>
  </si>
  <si>
    <t>0611277</t>
  </si>
  <si>
    <t>1277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</si>
  <si>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шкільних автобусів</t>
  </si>
  <si>
    <t xml:space="preserve">від 13.12.2024
№ 457-23/VIII
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</si>
  <si>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</si>
  <si>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</si>
  <si>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</si>
  <si>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</si>
  <si>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0611025</t>
  </si>
  <si>
    <t>1025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</si>
  <si>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</si>
  <si>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1014020</t>
  </si>
  <si>
    <t>4020</t>
  </si>
  <si>
    <t>0822</t>
  </si>
  <si>
    <t>Фінансова підтримка фiлармонiй, художніх і музичних колективів, ансамблів, концертних та циркових організацій</t>
  </si>
  <si>
    <t>0813101</t>
  </si>
  <si>
    <t>3101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</si>
  <si>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</si>
  <si>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0813102</t>
  </si>
  <si>
    <t>3102</t>
  </si>
  <si>
    <t>1020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</si>
  <si>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</si>
  <si>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0611023</t>
  </si>
  <si>
    <t>1023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</si>
  <si>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</si>
  <si>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 xml:space="preserve">Цільова соціальна комплексна програма розвитку фізичної культури і спорту в Дніпропетровській області до 2026 року 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</si>
  <si>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 за рахунок коштів місцевого бюджету</t>
  </si>
  <si>
    <t>0712171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</si>
  <si>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</si>
  <si>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</si>
  <si>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0813111</t>
  </si>
  <si>
    <t>3111</t>
  </si>
  <si>
    <t>Надання комплексу послуг дітям-сиротам, дітям, позбавленим батьківського піклування, особам з їх числа та дітям віком від 3 до 18 років, які опинились у складних життєвих обставинах, закладами, які надають соціальні послуги дітям</t>
  </si>
  <si>
    <t>Програма з розвитку інформаційно-комунікативної сфери  Дніпропетровської області на 2021 – 2028 роки</t>
  </si>
  <si>
    <t>Програма впровадження державної політики органами виконавчої влади у Дніпропетровській області на 2016 – 2028 роки</t>
  </si>
  <si>
    <t>Регіональна цільова соціальна програма “Якісне харчування – здорове покоління Дніпропетровщини на 2025 – 2027 роки”</t>
  </si>
  <si>
    <r>
      <t>Програма розвитку міжнародного співробітництва, євроінтеграційних процесів та формування позитивного іміджу Дніпропетровської області на 2021 – 2025</t>
    </r>
    <r>
      <rPr>
        <b/>
        <sz val="18"/>
        <color indexed="8"/>
        <rFont val="Times New Roman"/>
        <family val="1"/>
        <charset val="204"/>
      </rPr>
      <t xml:space="preserve"> роки</t>
    </r>
  </si>
  <si>
    <t>від 13.12.2024
№ 460-23/VІІІ
 (із змінами)</t>
  </si>
  <si>
    <r>
      <t xml:space="preserve">Програма соціального захисту та підтримки дітей у Дніпропетровській області на 2021 – 2028 </t>
    </r>
    <r>
      <rPr>
        <b/>
        <sz val="18"/>
        <color indexed="8"/>
        <rFont val="Times New Roman"/>
        <family val="1"/>
        <charset val="204"/>
      </rPr>
      <t>роки</t>
    </r>
  </si>
  <si>
    <r>
      <t xml:space="preserve">від 03.12.2021 
№ 153-9/VIII
 (із змінами)
</t>
    </r>
    <r>
      <rPr>
        <b/>
        <sz val="18"/>
        <color indexed="10"/>
        <rFont val="Times New Roman"/>
        <family val="1"/>
        <charset val="204"/>
      </rPr>
      <t xml:space="preserve">  </t>
    </r>
  </si>
  <si>
    <t xml:space="preserve">Дніпропетровська обласна комплексна програма (стратегія) екологічної безпеки та запобігання змінам клімату на 2016 – 2028 роки </t>
  </si>
  <si>
    <t xml:space="preserve"> Програма соціально-економічного та культурного розвитку Дніпропетровської області на 2026 рік </t>
  </si>
  <si>
    <t>2819740</t>
  </si>
  <si>
    <t>9740</t>
  </si>
  <si>
    <t>Субвенція з місцевого бюджету на здійснення природоохоронних заходів</t>
  </si>
  <si>
    <t xml:space="preserve">Бюджетна програма “Виконання судових рішень та виконавчих документів Дніпропетровською обласною радою” на 2018 – 2028 роки </t>
  </si>
  <si>
    <t xml:space="preserve">Обласна програма “Здоров’я населення Дніпропетровщини на 2020 – 2026 роки” </t>
  </si>
  <si>
    <t>Регіональна цільова соціальна програма “Молодь Дніпропетровщини” на 2022 – 2026 роки</t>
  </si>
  <si>
    <t>Регіональна програма інформатизації “Дніпропетровщина: цифрова трансформація”                                                                                                                                                                                                                                         на 2026 – 2028 роки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</si>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</sst>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9" formatCode="_-* #,##0.00_₴_-;\-* #,##0.00_₴_-;_-* &quot;-&quot;??_₴_-;_-@_-"/>
    <numFmt numFmtId="199" formatCode="#,##0.000"/>
  </numFmts>
  <fonts count="37" x14ac:knownFonts="1">
    <font>
      <sz val="10"/>
      <name val="Times New Roman"/>
      <family val="1"/>
      <charset val="204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6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4" fillId="12" borderId="1" applyNumberFormat="0" applyAlignment="0" applyProtection="0"/>
    <xf numFmtId="0" fontId="5" fillId="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14" borderId="4" applyNumberFormat="0" applyAlignment="0" applyProtection="0"/>
    <xf numFmtId="0" fontId="10" fillId="0" borderId="0"/>
    <xf numFmtId="0" fontId="6" fillId="0" borderId="0" applyNumberFormat="0" applyFill="0" applyBorder="0" applyAlignment="0" applyProtection="0"/>
    <xf numFmtId="189" fontId="1" fillId="0" borderId="0" applyFill="0" applyBorder="0" applyAlignment="0" applyProtection="0"/>
  </cellStyleXfs>
  <cellXfs count="105">
    <xf numFmtId="0" fontId="0" fillId="0" borderId="0" xfId="0"/>
    <xf numFmtId="0" fontId="11" fillId="0" borderId="0" xfId="43" applyNumberFormat="1" applyFont="1" applyFill="1" applyBorder="1" applyAlignment="1" applyProtection="1">
      <alignment horizontal="center" vertical="top" wrapText="1"/>
    </xf>
    <xf numFmtId="189" fontId="14" fillId="0" borderId="0" xfId="47" applyFont="1" applyFill="1" applyAlignment="1" applyProtection="1">
      <alignment vertical="center"/>
      <protection locked="0"/>
    </xf>
    <xf numFmtId="0" fontId="28" fillId="0" borderId="0" xfId="43" applyNumberFormat="1" applyFont="1" applyFill="1" applyBorder="1" applyAlignment="1" applyProtection="1">
      <alignment horizontal="center" vertical="top" wrapText="1"/>
    </xf>
    <xf numFmtId="3" fontId="11" fillId="0" borderId="0" xfId="41" applyNumberFormat="1" applyFont="1" applyFill="1" applyBorder="1" applyAlignment="1" applyProtection="1">
      <alignment horizontal="right" vertical="center"/>
    </xf>
    <xf numFmtId="0" fontId="13" fillId="0" borderId="0" xfId="43" applyNumberFormat="1" applyFont="1" applyFill="1" applyAlignment="1" applyProtection="1"/>
    <xf numFmtId="0" fontId="29" fillId="0" borderId="0" xfId="43" applyNumberFormat="1" applyFont="1" applyFill="1" applyAlignment="1" applyProtection="1"/>
    <xf numFmtId="0" fontId="13" fillId="0" borderId="0" xfId="41" applyFont="1" applyFill="1" applyAlignment="1" applyProtection="1">
      <alignment vertical="center"/>
      <protection locked="0"/>
    </xf>
    <xf numFmtId="0" fontId="11" fillId="0" borderId="0" xfId="43" applyNumberFormat="1" applyFont="1" applyFill="1" applyBorder="1" applyAlignment="1" applyProtection="1">
      <alignment horizontal="center" vertical="center" wrapText="1"/>
    </xf>
    <xf numFmtId="0" fontId="29" fillId="0" borderId="0" xfId="41" applyFont="1" applyFill="1" applyAlignment="1" applyProtection="1">
      <alignment vertical="center"/>
      <protection locked="0"/>
    </xf>
    <xf numFmtId="0" fontId="13" fillId="0" borderId="0" xfId="41" applyFont="1" applyFill="1" applyBorder="1" applyAlignment="1" applyProtection="1">
      <alignment vertical="center"/>
      <protection locked="0"/>
    </xf>
    <xf numFmtId="0" fontId="13" fillId="0" borderId="0" xfId="41" applyFont="1" applyFill="1" applyAlignment="1" applyProtection="1">
      <alignment horizontal="right" vertical="center"/>
    </xf>
    <xf numFmtId="0" fontId="13" fillId="0" borderId="0" xfId="41" applyFont="1" applyFill="1" applyAlignment="1" applyProtection="1">
      <alignment vertical="center" wrapText="1"/>
    </xf>
    <xf numFmtId="3" fontId="13" fillId="0" borderId="0" xfId="41" applyNumberFormat="1" applyFont="1" applyFill="1" applyAlignment="1" applyProtection="1">
      <alignment vertical="center"/>
      <protection locked="0"/>
    </xf>
    <xf numFmtId="0" fontId="13" fillId="0" borderId="0" xfId="41" applyFont="1" applyFill="1" applyBorder="1" applyAlignment="1" applyProtection="1">
      <alignment horizontal="right" vertical="center"/>
    </xf>
    <xf numFmtId="0" fontId="13" fillId="0" borderId="0" xfId="41" applyFont="1" applyFill="1" applyBorder="1" applyAlignment="1" applyProtection="1">
      <alignment vertical="center" wrapText="1"/>
    </xf>
    <xf numFmtId="0" fontId="29" fillId="0" borderId="0" xfId="41" applyFont="1" applyFill="1" applyBorder="1" applyAlignment="1" applyProtection="1">
      <alignment vertical="center"/>
      <protection locked="0"/>
    </xf>
    <xf numFmtId="4" fontId="13" fillId="0" borderId="0" xfId="41" applyNumberFormat="1" applyFont="1" applyFill="1" applyAlignment="1" applyProtection="1">
      <alignment vertical="center"/>
      <protection locked="0"/>
    </xf>
    <xf numFmtId="0" fontId="30" fillId="0" borderId="0" xfId="43" applyNumberFormat="1" applyFont="1" applyFill="1" applyAlignment="1" applyProtection="1">
      <alignment horizontal="center"/>
    </xf>
    <xf numFmtId="0" fontId="13" fillId="0" borderId="0" xfId="43" applyNumberFormat="1" applyFont="1" applyFill="1" applyAlignment="1" applyProtection="1">
      <alignment horizontal="center" vertical="center" wrapText="1"/>
    </xf>
    <xf numFmtId="0" fontId="17" fillId="0" borderId="5" xfId="43" applyNumberFormat="1" applyFont="1" applyFill="1" applyBorder="1" applyAlignment="1" applyProtection="1">
      <alignment horizontal="center" vertical="center" wrapText="1"/>
    </xf>
    <xf numFmtId="0" fontId="17" fillId="0" borderId="5" xfId="43" applyFont="1" applyFill="1" applyBorder="1" applyAlignment="1">
      <alignment horizontal="center" vertical="center" wrapText="1"/>
    </xf>
    <xf numFmtId="0" fontId="17" fillId="0" borderId="0" xfId="41" applyFont="1" applyFill="1" applyAlignment="1" applyProtection="1">
      <alignment vertical="center"/>
      <protection locked="0"/>
    </xf>
    <xf numFmtId="49" fontId="31" fillId="0" borderId="5" xfId="41" applyNumberFormat="1" applyFont="1" applyFill="1" applyBorder="1" applyAlignment="1" applyProtection="1">
      <alignment horizontal="center" vertical="center" wrapText="1"/>
    </xf>
    <xf numFmtId="49" fontId="31" fillId="0" borderId="5" xfId="41" applyNumberFormat="1" applyFont="1" applyFill="1" applyBorder="1" applyAlignment="1" applyProtection="1">
      <alignment horizontal="left" vertical="center" wrapText="1"/>
    </xf>
    <xf numFmtId="0" fontId="32" fillId="0" borderId="5" xfId="41" applyFont="1" applyFill="1" applyBorder="1" applyAlignment="1" applyProtection="1">
      <alignment horizontal="center" vertical="center" wrapText="1"/>
    </xf>
    <xf numFmtId="0" fontId="31" fillId="0" borderId="0" xfId="41" applyFont="1" applyFill="1" applyAlignment="1" applyProtection="1">
      <alignment vertical="center"/>
      <protection locked="0"/>
    </xf>
    <xf numFmtId="0" fontId="32" fillId="0" borderId="5" xfId="43" applyNumberFormat="1" applyFont="1" applyFill="1" applyBorder="1" applyAlignment="1" applyProtection="1">
      <alignment horizontal="center" vertical="center" wrapText="1"/>
    </xf>
    <xf numFmtId="0" fontId="31" fillId="0" borderId="5" xfId="41" applyFont="1" applyFill="1" applyBorder="1" applyAlignment="1" applyProtection="1">
      <alignment horizontal="center" vertical="center"/>
    </xf>
    <xf numFmtId="4" fontId="31" fillId="0" borderId="0" xfId="41" applyNumberFormat="1" applyFont="1" applyFill="1" applyAlignment="1" applyProtection="1">
      <alignment vertical="center"/>
      <protection locked="0"/>
    </xf>
    <xf numFmtId="49" fontId="32" fillId="0" borderId="5" xfId="41" applyNumberFormat="1" applyFont="1" applyFill="1" applyBorder="1" applyAlignment="1" applyProtection="1">
      <alignment horizontal="center" vertical="center" wrapText="1"/>
    </xf>
    <xf numFmtId="0" fontId="33" fillId="0" borderId="5" xfId="41" applyFont="1" applyFill="1" applyBorder="1" applyAlignment="1">
      <alignment horizontal="center" vertical="center" wrapText="1"/>
    </xf>
    <xf numFmtId="4" fontId="31" fillId="0" borderId="5" xfId="41" applyNumberFormat="1" applyFont="1" applyFill="1" applyBorder="1" applyAlignment="1">
      <alignment horizontal="right" vertical="center"/>
    </xf>
    <xf numFmtId="0" fontId="31" fillId="0" borderId="5" xfId="41" applyNumberFormat="1" applyFont="1" applyFill="1" applyBorder="1" applyAlignment="1" applyProtection="1">
      <alignment horizontal="left" vertical="center" wrapText="1"/>
    </xf>
    <xf numFmtId="49" fontId="34" fillId="0" borderId="5" xfId="41" applyNumberFormat="1" applyFont="1" applyFill="1" applyBorder="1" applyAlignment="1" applyProtection="1">
      <alignment horizontal="center" vertical="center" wrapText="1"/>
    </xf>
    <xf numFmtId="0" fontId="34" fillId="0" borderId="5" xfId="41" applyNumberFormat="1" applyFont="1" applyFill="1" applyBorder="1" applyAlignment="1" applyProtection="1">
      <alignment horizontal="left" vertical="center" wrapText="1"/>
    </xf>
    <xf numFmtId="0" fontId="34" fillId="0" borderId="0" xfId="41" applyFont="1" applyFill="1" applyAlignment="1" applyProtection="1">
      <alignment vertical="center"/>
      <protection locked="0"/>
    </xf>
    <xf numFmtId="0" fontId="34" fillId="0" borderId="5" xfId="41" applyFont="1" applyFill="1" applyBorder="1" applyAlignment="1" applyProtection="1">
      <alignment horizontal="center" vertical="center"/>
    </xf>
    <xf numFmtId="49" fontId="19" fillId="0" borderId="5" xfId="41" applyNumberFormat="1" applyFont="1" applyFill="1" applyBorder="1" applyAlignment="1" applyProtection="1">
      <alignment horizontal="center" vertical="center" wrapText="1"/>
    </xf>
    <xf numFmtId="0" fontId="20" fillId="0" borderId="5" xfId="41" applyFont="1" applyFill="1" applyBorder="1" applyAlignment="1">
      <alignment horizontal="center" vertical="center" wrapText="1"/>
    </xf>
    <xf numFmtId="0" fontId="18" fillId="0" borderId="5" xfId="41" applyFont="1" applyFill="1" applyBorder="1" applyAlignment="1" applyProtection="1">
      <alignment horizontal="center" vertical="center"/>
    </xf>
    <xf numFmtId="0" fontId="18" fillId="0" borderId="0" xfId="41" applyFont="1" applyFill="1" applyAlignment="1" applyProtection="1">
      <alignment vertical="center"/>
      <protection locked="0"/>
    </xf>
    <xf numFmtId="49" fontId="35" fillId="0" borderId="0" xfId="43" applyNumberFormat="1" applyFont="1" applyFill="1" applyBorder="1" applyAlignment="1" applyProtection="1">
      <alignment horizontal="center" vertical="center" wrapText="1"/>
    </xf>
    <xf numFmtId="0" fontId="35" fillId="0" borderId="6" xfId="43" applyNumberFormat="1" applyFont="1" applyFill="1" applyBorder="1" applyAlignment="1" applyProtection="1">
      <alignment horizontal="center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2" fillId="0" borderId="5" xfId="41" applyFont="1" applyFill="1" applyBorder="1" applyAlignment="1" applyProtection="1">
      <alignment vertical="center" wrapText="1"/>
    </xf>
    <xf numFmtId="0" fontId="32" fillId="0" borderId="5" xfId="41" applyFont="1" applyFill="1" applyBorder="1" applyAlignment="1" applyProtection="1">
      <alignment horizontal="left" vertical="center" wrapText="1"/>
    </xf>
    <xf numFmtId="49" fontId="17" fillId="0" borderId="5" xfId="41" applyNumberFormat="1" applyFont="1" applyFill="1" applyBorder="1" applyAlignment="1" applyProtection="1">
      <alignment horizontal="center" vertical="center" wrapText="1"/>
    </xf>
    <xf numFmtId="49" fontId="17" fillId="0" borderId="5" xfId="41" applyNumberFormat="1" applyFont="1" applyFill="1" applyBorder="1" applyAlignment="1" applyProtection="1">
      <alignment horizontal="left" vertical="center" wrapText="1"/>
    </xf>
    <xf numFmtId="0" fontId="36" fillId="0" borderId="5" xfId="41" applyFont="1" applyFill="1" applyBorder="1" applyAlignment="1" applyProtection="1">
      <alignment horizontal="center" vertical="top" wrapText="1"/>
    </xf>
    <xf numFmtId="0" fontId="23" fillId="0" borderId="5" xfId="41" applyFont="1" applyFill="1" applyBorder="1" applyAlignment="1" applyProtection="1">
      <alignment horizontal="center" vertical="top" wrapText="1"/>
    </xf>
    <xf numFmtId="0" fontId="17" fillId="0" borderId="7" xfId="41" applyFont="1" applyFill="1" applyBorder="1" applyAlignment="1" applyProtection="1">
      <alignment vertical="center"/>
      <protection locked="0"/>
    </xf>
    <xf numFmtId="0" fontId="17" fillId="0" borderId="0" xfId="41" applyFont="1" applyFill="1" applyBorder="1" applyAlignment="1" applyProtection="1">
      <alignment vertical="center"/>
      <protection locked="0"/>
    </xf>
    <xf numFmtId="49" fontId="18" fillId="0" borderId="5" xfId="41" applyNumberFormat="1" applyFont="1" applyFill="1" applyBorder="1" applyAlignment="1" applyProtection="1">
      <alignment horizontal="center" vertical="center" wrapText="1"/>
    </xf>
    <xf numFmtId="0" fontId="18" fillId="0" borderId="5" xfId="41" applyNumberFormat="1" applyFont="1" applyFill="1" applyBorder="1" applyAlignment="1" applyProtection="1">
      <alignment horizontal="left" vertical="center" wrapText="1"/>
    </xf>
    <xf numFmtId="0" fontId="18" fillId="0" borderId="0" xfId="41" applyFont="1" applyFill="1" applyBorder="1" applyAlignment="1" applyProtection="1">
      <alignment vertical="center"/>
      <protection locked="0"/>
    </xf>
    <xf numFmtId="0" fontId="31" fillId="0" borderId="7" xfId="41" applyFont="1" applyFill="1" applyBorder="1" applyAlignment="1" applyProtection="1">
      <alignment vertical="center"/>
      <protection locked="0"/>
    </xf>
    <xf numFmtId="0" fontId="19" fillId="0" borderId="5" xfId="41" applyFont="1" applyFill="1" applyBorder="1" applyAlignment="1" applyProtection="1">
      <alignment vertical="center" wrapText="1"/>
    </xf>
    <xf numFmtId="0" fontId="32" fillId="0" borderId="5" xfId="41" applyFont="1" applyFill="1" applyBorder="1" applyAlignment="1" applyProtection="1">
      <alignment horizontal="center" vertical="top" wrapText="1"/>
    </xf>
    <xf numFmtId="49" fontId="31" fillId="0" borderId="8" xfId="41" applyNumberFormat="1" applyFont="1" applyFill="1" applyBorder="1" applyAlignment="1" applyProtection="1">
      <alignment horizontal="center" vertical="center" wrapText="1"/>
    </xf>
    <xf numFmtId="49" fontId="31" fillId="0" borderId="8" xfId="41" applyNumberFormat="1" applyFont="1" applyFill="1" applyBorder="1" applyAlignment="1" applyProtection="1">
      <alignment horizontal="left" vertical="center" wrapText="1"/>
    </xf>
    <xf numFmtId="0" fontId="19" fillId="0" borderId="5" xfId="41" applyFont="1" applyFill="1" applyBorder="1" applyAlignment="1" applyProtection="1">
      <alignment horizontal="center" vertical="center" wrapText="1"/>
    </xf>
    <xf numFmtId="0" fontId="24" fillId="0" borderId="0" xfId="41" applyFont="1" applyFill="1" applyAlignment="1" applyProtection="1">
      <alignment horizontal="right" vertical="center"/>
    </xf>
    <xf numFmtId="0" fontId="24" fillId="0" borderId="0" xfId="41" applyFont="1" applyFill="1" applyAlignment="1" applyProtection="1">
      <alignment vertical="center"/>
      <protection locked="0"/>
    </xf>
    <xf numFmtId="0" fontId="21" fillId="0" borderId="0" xfId="0" applyNumberFormat="1" applyFont="1" applyFill="1" applyBorder="1" applyAlignment="1" applyProtection="1">
      <alignment horizontal="right" vertical="center"/>
    </xf>
    <xf numFmtId="3" fontId="17" fillId="0" borderId="0" xfId="41" applyNumberFormat="1" applyFont="1" applyFill="1" applyAlignment="1" applyProtection="1">
      <alignment vertical="center"/>
      <protection locked="0"/>
    </xf>
    <xf numFmtId="0" fontId="19" fillId="0" borderId="8" xfId="4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32" fillId="0" borderId="8" xfId="41" applyFont="1" applyFill="1" applyBorder="1" applyAlignment="1" applyProtection="1">
      <alignment horizontal="center" vertical="center" wrapText="1"/>
    </xf>
    <xf numFmtId="4" fontId="32" fillId="0" borderId="5" xfId="41" applyNumberFormat="1" applyFont="1" applyFill="1" applyBorder="1" applyAlignment="1" applyProtection="1">
      <alignment horizontal="right" vertical="center" wrapText="1"/>
    </xf>
    <xf numFmtId="4" fontId="32" fillId="0" borderId="5" xfId="41" applyNumberFormat="1" applyFont="1" applyFill="1" applyBorder="1" applyAlignment="1">
      <alignment horizontal="right" vertical="center"/>
    </xf>
    <xf numFmtId="4" fontId="32" fillId="0" borderId="5" xfId="43" applyNumberFormat="1" applyFont="1" applyFill="1" applyBorder="1" applyAlignment="1">
      <alignment horizontal="right" vertical="center" wrapText="1"/>
    </xf>
    <xf numFmtId="4" fontId="31" fillId="0" borderId="5" xfId="43" applyNumberFormat="1" applyFont="1" applyFill="1" applyBorder="1" applyAlignment="1">
      <alignment horizontal="right" vertical="center" wrapText="1"/>
    </xf>
    <xf numFmtId="4" fontId="34" fillId="0" borderId="5" xfId="43" applyNumberFormat="1" applyFont="1" applyFill="1" applyBorder="1" applyAlignment="1">
      <alignment horizontal="right" vertical="center" wrapText="1"/>
    </xf>
    <xf numFmtId="4" fontId="36" fillId="0" borderId="5" xfId="41" applyNumberFormat="1" applyFont="1" applyFill="1" applyBorder="1" applyAlignment="1" applyProtection="1">
      <alignment horizontal="right" vertical="center" wrapText="1"/>
    </xf>
    <xf numFmtId="4" fontId="18" fillId="0" borderId="5" xfId="41" applyNumberFormat="1" applyFont="1" applyFill="1" applyBorder="1" applyAlignment="1" applyProtection="1">
      <alignment horizontal="right" vertical="center"/>
    </xf>
    <xf numFmtId="4" fontId="34" fillId="0" borderId="5" xfId="41" applyNumberFormat="1" applyFont="1" applyFill="1" applyBorder="1" applyAlignment="1">
      <alignment horizontal="right" vertical="center"/>
    </xf>
    <xf numFmtId="4" fontId="36" fillId="0" borderId="5" xfId="41" applyNumberFormat="1" applyFont="1" applyFill="1" applyBorder="1" applyAlignment="1">
      <alignment horizontal="right" vertical="center"/>
    </xf>
    <xf numFmtId="4" fontId="17" fillId="0" borderId="5" xfId="41" applyNumberFormat="1" applyFont="1" applyFill="1" applyBorder="1" applyAlignment="1" applyProtection="1">
      <alignment horizontal="right" vertical="center" wrapText="1"/>
    </xf>
    <xf numFmtId="4" fontId="19" fillId="0" borderId="5" xfId="41" applyNumberFormat="1" applyFont="1" applyFill="1" applyBorder="1" applyAlignment="1" applyProtection="1">
      <alignment horizontal="right" vertical="center" wrapText="1"/>
    </xf>
    <xf numFmtId="4" fontId="17" fillId="0" borderId="5" xfId="41" applyNumberFormat="1" applyFont="1" applyFill="1" applyBorder="1" applyAlignment="1" applyProtection="1">
      <alignment horizontal="right" vertical="center"/>
    </xf>
    <xf numFmtId="4" fontId="23" fillId="0" borderId="5" xfId="41" applyNumberFormat="1" applyFont="1" applyFill="1" applyBorder="1" applyAlignment="1" applyProtection="1">
      <alignment horizontal="right" vertical="center" wrapText="1"/>
    </xf>
    <xf numFmtId="4" fontId="18" fillId="0" borderId="5" xfId="41" applyNumberFormat="1" applyFont="1" applyFill="1" applyBorder="1" applyAlignment="1" applyProtection="1">
      <alignment horizontal="right" vertical="center" wrapText="1"/>
    </xf>
    <xf numFmtId="4" fontId="31" fillId="0" borderId="5" xfId="41" applyNumberFormat="1" applyFont="1" applyFill="1" applyBorder="1" applyAlignment="1" applyProtection="1">
      <alignment horizontal="right" vertical="center" wrapText="1"/>
    </xf>
    <xf numFmtId="4" fontId="32" fillId="0" borderId="8" xfId="41" applyNumberFormat="1" applyFont="1" applyFill="1" applyBorder="1" applyAlignment="1" applyProtection="1">
      <alignment horizontal="right" vertical="center" wrapText="1"/>
    </xf>
    <xf numFmtId="4" fontId="32" fillId="0" borderId="8" xfId="41" applyNumberFormat="1" applyFont="1" applyFill="1" applyBorder="1" applyAlignment="1">
      <alignment horizontal="right" vertical="center"/>
    </xf>
    <xf numFmtId="4" fontId="19" fillId="0" borderId="5" xfId="41" applyNumberFormat="1" applyFont="1" applyFill="1" applyBorder="1" applyAlignment="1" applyProtection="1">
      <alignment horizontal="right" vertical="center"/>
    </xf>
    <xf numFmtId="199" fontId="31" fillId="0" borderId="5" xfId="41" applyNumberFormat="1" applyFont="1" applyFill="1" applyBorder="1" applyAlignment="1">
      <alignment horizontal="right" vertical="center"/>
    </xf>
    <xf numFmtId="0" fontId="34" fillId="0" borderId="5" xfId="41" applyNumberFormat="1" applyFont="1" applyFill="1" applyBorder="1" applyAlignment="1" applyProtection="1">
      <alignment horizontal="left" vertical="top" wrapText="1"/>
    </xf>
    <xf numFmtId="0" fontId="31" fillId="0" borderId="5" xfId="0" applyNumberFormat="1" applyFont="1" applyFill="1" applyBorder="1" applyAlignment="1">
      <alignment horizontal="left" vertical="center" wrapText="1"/>
    </xf>
    <xf numFmtId="4" fontId="34" fillId="0" borderId="5" xfId="41" applyNumberFormat="1" applyFont="1" applyFill="1" applyBorder="1" applyAlignment="1" applyProtection="1">
      <alignment horizontal="right" vertical="center" wrapText="1"/>
    </xf>
    <xf numFmtId="49" fontId="34" fillId="0" borderId="5" xfId="41" applyNumberFormat="1" applyFont="1" applyFill="1" applyBorder="1" applyAlignment="1" applyProtection="1">
      <alignment horizontal="left" vertical="center" wrapText="1"/>
    </xf>
    <xf numFmtId="0" fontId="32" fillId="0" borderId="5" xfId="41" applyFont="1" applyFill="1" applyBorder="1" applyAlignment="1" applyProtection="1">
      <alignment horizontal="center" wrapText="1"/>
    </xf>
    <xf numFmtId="0" fontId="31" fillId="0" borderId="5" xfId="43" applyFont="1" applyFill="1" applyBorder="1" applyAlignment="1">
      <alignment horizontal="center" vertical="center" wrapText="1"/>
    </xf>
    <xf numFmtId="0" fontId="21" fillId="0" borderId="0" xfId="0" applyNumberFormat="1" applyFont="1" applyFill="1" applyAlignment="1" applyProtection="1">
      <alignment horizontal="left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22" fillId="0" borderId="0" xfId="43" applyNumberFormat="1" applyFont="1" applyFill="1" applyBorder="1" applyAlignment="1" applyProtection="1">
      <alignment horizontal="center" vertical="center" wrapText="1"/>
    </xf>
    <xf numFmtId="49" fontId="15" fillId="0" borderId="0" xfId="43" applyNumberFormat="1" applyFont="1" applyFill="1" applyBorder="1" applyAlignment="1" applyProtection="1">
      <alignment horizontal="center" wrapText="1"/>
    </xf>
    <xf numFmtId="0" fontId="13" fillId="0" borderId="0" xfId="43" applyNumberFormat="1" applyFont="1" applyFill="1" applyBorder="1" applyAlignment="1" applyProtection="1">
      <alignment horizontal="center" vertical="top" wrapText="1"/>
    </xf>
    <xf numFmtId="0" fontId="17" fillId="0" borderId="5" xfId="43" applyNumberFormat="1" applyFont="1" applyFill="1" applyBorder="1" applyAlignment="1" applyProtection="1">
      <alignment horizontal="center" vertical="center" wrapText="1"/>
    </xf>
    <xf numFmtId="0" fontId="31" fillId="0" borderId="5" xfId="43" applyFont="1" applyFill="1" applyBorder="1" applyAlignment="1">
      <alignment horizontal="center" vertical="center" wrapText="1"/>
    </xf>
    <xf numFmtId="0" fontId="17" fillId="0" borderId="5" xfId="43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left" wrapText="1"/>
    </xf>
    <xf numFmtId="0" fontId="11" fillId="0" borderId="0" xfId="42" applyFont="1" applyFill="1" applyBorder="1" applyAlignment="1">
      <alignment horizontal="left" wrapText="1"/>
    </xf>
    <xf numFmtId="0" fontId="22" fillId="0" borderId="0" xfId="41" applyFont="1" applyFill="1" applyAlignment="1" applyProtection="1">
      <alignment horizontal="center" vertical="center"/>
      <protection locked="0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meresha_07" xfId="13"/>
    <cellStyle name="Ввід" xfId="14"/>
    <cellStyle name="Добре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22" xfId="28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" xfId="36"/>
    <cellStyle name="Контрольна клітинка" xfId="37"/>
    <cellStyle name="Назва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 6 джерела.." xfId="42"/>
    <cellStyle name="Обычный_Додаток7 програми" xfId="43"/>
    <cellStyle name="Примечание 2" xfId="44"/>
    <cellStyle name="Стиль 1" xfId="45"/>
    <cellStyle name="Текст попередження" xfId="46"/>
    <cellStyle name="Финансовый" xfId="4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N1060"/>
  <sheetViews>
    <sheetView showZeros="0" tabSelected="1" view="pageBreakPreview" zoomScale="53" zoomScaleNormal="40" zoomScaleSheetLayoutView="53" workbookViewId="0">
      <pane xSplit="4" ySplit="10" topLeftCell="E297" activePane="bottomRight" state="frozen"/>
      <selection pane="topRight" activeCell="E1" sqref="E1"/>
      <selection pane="bottomLeft" activeCell="A10" sqref="A10"/>
      <selection pane="bottomRight" activeCell="M301" sqref="M301"/>
    </sheetView>
  </sheetViews>
  <sheetFormatPr defaultColWidth="9.83203125" defaultRowHeight="18.75" x14ac:dyDescent="0.2"/>
  <cols>
    <col min="1" max="1" width="23.5" style="11" customWidth="1"/>
    <col min="2" max="2" width="20.5" style="11" customWidth="1"/>
    <col min="3" max="3" width="22.6640625" style="11" customWidth="1"/>
    <col min="4" max="4" width="93.33203125" style="12" customWidth="1"/>
    <col min="5" max="5" width="87" style="9" customWidth="1"/>
    <col min="6" max="10" width="33.33203125" style="7" customWidth="1"/>
    <col min="11" max="11" width="21.83203125" style="7" customWidth="1"/>
    <col min="12" max="13" width="22.83203125" style="7" customWidth="1"/>
    <col min="14" max="14" width="15.83203125" style="7" customWidth="1"/>
    <col min="15" max="16384" width="9.83203125" style="7"/>
  </cols>
  <sheetData>
    <row r="1" spans="1:14" ht="26.25" x14ac:dyDescent="0.3">
      <c r="A1" s="5"/>
      <c r="B1" s="5"/>
      <c r="C1" s="5"/>
      <c r="D1" s="5"/>
      <c r="E1" s="6"/>
      <c r="F1" s="5"/>
      <c r="G1" s="5"/>
      <c r="I1" s="94" t="s">
        <v>87</v>
      </c>
      <c r="J1" s="94"/>
    </row>
    <row r="2" spans="1:14" ht="25.5" customHeight="1" x14ac:dyDescent="0.35">
      <c r="A2" s="5"/>
      <c r="B2" s="5"/>
      <c r="C2" s="5"/>
      <c r="D2" s="5"/>
      <c r="E2" s="18"/>
      <c r="F2" s="5"/>
      <c r="G2" s="5"/>
      <c r="H2" s="5"/>
      <c r="I2" s="94" t="s">
        <v>278</v>
      </c>
      <c r="J2" s="94"/>
    </row>
    <row r="3" spans="1:14" ht="23.25" customHeight="1" x14ac:dyDescent="0.3">
      <c r="A3" s="5"/>
      <c r="B3" s="5"/>
      <c r="C3" s="5"/>
      <c r="D3" s="5"/>
      <c r="E3" s="6"/>
      <c r="F3" s="5"/>
      <c r="G3" s="5"/>
      <c r="H3" s="19"/>
      <c r="I3" s="95"/>
      <c r="J3" s="95"/>
    </row>
    <row r="4" spans="1:14" ht="23.25" customHeight="1" x14ac:dyDescent="0.3">
      <c r="A4" s="5"/>
      <c r="B4" s="5"/>
      <c r="C4" s="5"/>
      <c r="D4" s="5"/>
      <c r="E4" s="6"/>
      <c r="F4" s="5"/>
      <c r="G4" s="5"/>
      <c r="H4" s="19"/>
      <c r="I4" s="67"/>
      <c r="J4" s="67"/>
    </row>
    <row r="5" spans="1:14" ht="37.5" customHeight="1" x14ac:dyDescent="0.2">
      <c r="A5" s="96" t="s">
        <v>292</v>
      </c>
      <c r="B5" s="96"/>
      <c r="C5" s="96"/>
      <c r="D5" s="96"/>
      <c r="E5" s="96"/>
      <c r="F5" s="96"/>
      <c r="G5" s="96"/>
      <c r="H5" s="96"/>
      <c r="I5" s="96"/>
      <c r="J5" s="96"/>
    </row>
    <row r="6" spans="1:14" ht="26.25" x14ac:dyDescent="0.3">
      <c r="A6" s="97"/>
      <c r="B6" s="97"/>
      <c r="C6" s="97"/>
      <c r="D6" s="8"/>
      <c r="E6" s="42" t="s">
        <v>220</v>
      </c>
      <c r="F6" s="8"/>
      <c r="G6" s="8"/>
      <c r="H6" s="8"/>
      <c r="I6" s="8"/>
      <c r="J6" s="8"/>
    </row>
    <row r="7" spans="1:14" ht="27.6" customHeight="1" x14ac:dyDescent="0.2">
      <c r="A7" s="98"/>
      <c r="B7" s="98"/>
      <c r="C7" s="98"/>
      <c r="D7" s="8"/>
      <c r="E7" s="43" t="s">
        <v>136</v>
      </c>
      <c r="F7" s="8"/>
      <c r="G7" s="8"/>
      <c r="H7" s="8"/>
      <c r="I7" s="8"/>
      <c r="J7" s="8"/>
    </row>
    <row r="8" spans="1:14" ht="45.6" customHeight="1" x14ac:dyDescent="0.2">
      <c r="A8" s="1"/>
      <c r="B8" s="1"/>
      <c r="C8" s="1"/>
      <c r="D8" s="1"/>
      <c r="E8" s="3"/>
      <c r="F8" s="1"/>
      <c r="G8" s="1"/>
      <c r="H8" s="1"/>
      <c r="I8" s="1"/>
      <c r="J8" s="64" t="s">
        <v>193</v>
      </c>
    </row>
    <row r="9" spans="1:14" s="22" customFormat="1" ht="30.75" customHeight="1" x14ac:dyDescent="0.2">
      <c r="A9" s="99" t="s">
        <v>140</v>
      </c>
      <c r="B9" s="99" t="s">
        <v>138</v>
      </c>
      <c r="C9" s="99" t="s">
        <v>109</v>
      </c>
      <c r="D9" s="99" t="s">
        <v>403</v>
      </c>
      <c r="E9" s="100" t="s">
        <v>194</v>
      </c>
      <c r="F9" s="101" t="s">
        <v>195</v>
      </c>
      <c r="G9" s="101" t="s">
        <v>88</v>
      </c>
      <c r="H9" s="101" t="s">
        <v>0</v>
      </c>
      <c r="I9" s="101" t="s">
        <v>1</v>
      </c>
      <c r="J9" s="101"/>
    </row>
    <row r="10" spans="1:14" s="22" customFormat="1" ht="152.44999999999999" customHeight="1" x14ac:dyDescent="0.2">
      <c r="A10" s="99"/>
      <c r="B10" s="99"/>
      <c r="C10" s="99"/>
      <c r="D10" s="99"/>
      <c r="E10" s="100"/>
      <c r="F10" s="101"/>
      <c r="G10" s="101"/>
      <c r="H10" s="101"/>
      <c r="I10" s="21" t="s">
        <v>141</v>
      </c>
      <c r="J10" s="21" t="s">
        <v>137</v>
      </c>
    </row>
    <row r="11" spans="1:14" s="22" customFormat="1" ht="27.6" customHeight="1" x14ac:dyDescent="0.2">
      <c r="A11" s="20">
        <v>1</v>
      </c>
      <c r="B11" s="20">
        <v>2</v>
      </c>
      <c r="C11" s="20">
        <v>3</v>
      </c>
      <c r="D11" s="20">
        <v>4</v>
      </c>
      <c r="E11" s="93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</row>
    <row r="12" spans="1:14" s="26" customFormat="1" ht="79.150000000000006" customHeight="1" x14ac:dyDescent="0.2">
      <c r="A12" s="23"/>
      <c r="B12" s="23"/>
      <c r="C12" s="23"/>
      <c r="D12" s="24"/>
      <c r="E12" s="25" t="s">
        <v>267</v>
      </c>
      <c r="F12" s="25" t="s">
        <v>242</v>
      </c>
      <c r="G12" s="70">
        <f>G14+G27+G38+G43+G21+G32+G48</f>
        <v>114344189</v>
      </c>
      <c r="H12" s="70">
        <f>H14+H27+H38+H43+H21+H32+H48</f>
        <v>104181126</v>
      </c>
      <c r="I12" s="70">
        <f>I14+I27+I38+I43+I21+I32+I48</f>
        <v>10163063</v>
      </c>
      <c r="J12" s="70">
        <f>J14+J27+J38+J43+J21+J32+J48</f>
        <v>10163063</v>
      </c>
    </row>
    <row r="13" spans="1:14" s="26" customFormat="1" ht="30.6" customHeight="1" x14ac:dyDescent="0.2">
      <c r="A13" s="27"/>
      <c r="B13" s="27"/>
      <c r="C13" s="27"/>
      <c r="D13" s="27"/>
      <c r="E13" s="28" t="s">
        <v>2</v>
      </c>
      <c r="F13" s="28"/>
      <c r="G13" s="69">
        <v>0</v>
      </c>
      <c r="H13" s="71"/>
      <c r="I13" s="71"/>
      <c r="J13" s="70"/>
      <c r="K13" s="29"/>
      <c r="L13" s="29"/>
      <c r="M13" s="29"/>
      <c r="N13" s="29"/>
    </row>
    <row r="14" spans="1:14" s="26" customFormat="1" ht="68.25" customHeight="1" x14ac:dyDescent="0.2">
      <c r="A14" s="30" t="s">
        <v>28</v>
      </c>
      <c r="B14" s="30"/>
      <c r="C14" s="30"/>
      <c r="D14" s="31" t="s">
        <v>3</v>
      </c>
      <c r="E14" s="28"/>
      <c r="F14" s="28"/>
      <c r="G14" s="69">
        <f>H14+I14</f>
        <v>102833222</v>
      </c>
      <c r="H14" s="71">
        <f>H15</f>
        <v>97088209</v>
      </c>
      <c r="I14" s="71">
        <f>I15</f>
        <v>5745013</v>
      </c>
      <c r="J14" s="71">
        <f>J15</f>
        <v>5745013</v>
      </c>
    </row>
    <row r="15" spans="1:14" s="26" customFormat="1" ht="38.450000000000003" customHeight="1" x14ac:dyDescent="0.2">
      <c r="A15" s="30" t="s">
        <v>29</v>
      </c>
      <c r="B15" s="30"/>
      <c r="C15" s="30"/>
      <c r="D15" s="31" t="s">
        <v>3</v>
      </c>
      <c r="E15" s="28"/>
      <c r="F15" s="28"/>
      <c r="G15" s="71">
        <f>+G17+G16</f>
        <v>102833222</v>
      </c>
      <c r="H15" s="71">
        <f>+H17+H16</f>
        <v>97088209</v>
      </c>
      <c r="I15" s="71">
        <f>+I17+I16</f>
        <v>5745013</v>
      </c>
      <c r="J15" s="71">
        <f>+J17+J16</f>
        <v>5745013</v>
      </c>
    </row>
    <row r="16" spans="1:14" s="26" customFormat="1" ht="38.25" customHeight="1" x14ac:dyDescent="0.2">
      <c r="A16" s="23" t="s">
        <v>72</v>
      </c>
      <c r="B16" s="23" t="s">
        <v>8</v>
      </c>
      <c r="C16" s="23" t="s">
        <v>24</v>
      </c>
      <c r="D16" s="24" t="s">
        <v>71</v>
      </c>
      <c r="E16" s="28"/>
      <c r="F16" s="28"/>
      <c r="G16" s="69">
        <f>H16+I16</f>
        <v>1953533</v>
      </c>
      <c r="H16" s="72">
        <f>5583067-3629534</f>
        <v>1953533</v>
      </c>
      <c r="I16" s="71"/>
      <c r="J16" s="71"/>
    </row>
    <row r="17" spans="1:10" s="26" customFormat="1" ht="38.450000000000003" customHeight="1" x14ac:dyDescent="0.2">
      <c r="A17" s="23" t="s">
        <v>222</v>
      </c>
      <c r="B17" s="23" t="s">
        <v>39</v>
      </c>
      <c r="C17" s="23" t="s">
        <v>8</v>
      </c>
      <c r="D17" s="24" t="s">
        <v>223</v>
      </c>
      <c r="E17" s="28"/>
      <c r="F17" s="28"/>
      <c r="G17" s="69">
        <f>H17+I17</f>
        <v>100879689</v>
      </c>
      <c r="H17" s="72">
        <f>H19+H20</f>
        <v>95134676</v>
      </c>
      <c r="I17" s="72">
        <f>I19+I20</f>
        <v>5745013</v>
      </c>
      <c r="J17" s="72">
        <f>J19+J20</f>
        <v>5745013</v>
      </c>
    </row>
    <row r="18" spans="1:10" s="26" customFormat="1" ht="28.9" customHeight="1" x14ac:dyDescent="0.2">
      <c r="A18" s="23"/>
      <c r="B18" s="23"/>
      <c r="C18" s="23"/>
      <c r="D18" s="33" t="s">
        <v>2</v>
      </c>
      <c r="E18" s="28"/>
      <c r="F18" s="28"/>
      <c r="G18" s="69"/>
      <c r="H18" s="73"/>
      <c r="I18" s="72"/>
      <c r="J18" s="70"/>
    </row>
    <row r="19" spans="1:10" s="36" customFormat="1" ht="87.6" customHeight="1" x14ac:dyDescent="0.2">
      <c r="A19" s="34"/>
      <c r="B19" s="34"/>
      <c r="C19" s="34"/>
      <c r="D19" s="35" t="s">
        <v>291</v>
      </c>
      <c r="F19" s="37"/>
      <c r="G19" s="74">
        <f>H19+I19</f>
        <v>97379689</v>
      </c>
      <c r="H19" s="75">
        <f>96809175-3307327-491155-500155-725862-150000</f>
        <v>91634676</v>
      </c>
      <c r="I19" s="73">
        <f>4527996+491155+725862</f>
        <v>5745013</v>
      </c>
      <c r="J19" s="76">
        <f>4527996+491155+725862</f>
        <v>5745013</v>
      </c>
    </row>
    <row r="20" spans="1:10" s="36" customFormat="1" ht="87.6" customHeight="1" x14ac:dyDescent="0.2">
      <c r="A20" s="34"/>
      <c r="B20" s="34"/>
      <c r="C20" s="34"/>
      <c r="D20" s="35" t="s">
        <v>260</v>
      </c>
      <c r="E20" s="37"/>
      <c r="F20" s="37"/>
      <c r="G20" s="74">
        <f>H20</f>
        <v>3500000</v>
      </c>
      <c r="H20" s="75">
        <v>3500000</v>
      </c>
      <c r="I20" s="73"/>
      <c r="J20" s="77"/>
    </row>
    <row r="21" spans="1:10" s="26" customFormat="1" ht="80.25" customHeight="1" x14ac:dyDescent="0.2">
      <c r="A21" s="30" t="s">
        <v>125</v>
      </c>
      <c r="B21" s="30"/>
      <c r="C21" s="30"/>
      <c r="D21" s="31" t="s">
        <v>126</v>
      </c>
      <c r="E21" s="28"/>
      <c r="F21" s="28"/>
      <c r="G21" s="69">
        <f>H21+I21</f>
        <v>1642352</v>
      </c>
      <c r="H21" s="69">
        <f>H22</f>
        <v>1221935</v>
      </c>
      <c r="I21" s="69">
        <f>I22</f>
        <v>420417</v>
      </c>
      <c r="J21" s="69">
        <f>J22</f>
        <v>420417</v>
      </c>
    </row>
    <row r="22" spans="1:10" s="26" customFormat="1" ht="80.25" customHeight="1" x14ac:dyDescent="0.2">
      <c r="A22" s="30" t="s">
        <v>127</v>
      </c>
      <c r="B22" s="30"/>
      <c r="C22" s="30"/>
      <c r="D22" s="31" t="s">
        <v>126</v>
      </c>
      <c r="E22" s="28"/>
      <c r="F22" s="28"/>
      <c r="G22" s="69">
        <f>G24+G23+G26+G25</f>
        <v>1642352</v>
      </c>
      <c r="H22" s="69">
        <f>H24+H23+H26+H25</f>
        <v>1221935</v>
      </c>
      <c r="I22" s="69">
        <f>I24+I23+I26+I25</f>
        <v>420417</v>
      </c>
      <c r="J22" s="69">
        <f>J24+J23+J26+J25</f>
        <v>420417</v>
      </c>
    </row>
    <row r="23" spans="1:10" s="36" customFormat="1" ht="133.15" customHeight="1" x14ac:dyDescent="0.2">
      <c r="A23" s="23" t="s">
        <v>409</v>
      </c>
      <c r="B23" s="23" t="s">
        <v>410</v>
      </c>
      <c r="C23" s="23" t="s">
        <v>411</v>
      </c>
      <c r="D23" s="24" t="s">
        <v>412</v>
      </c>
      <c r="E23" s="25"/>
      <c r="F23" s="25"/>
      <c r="G23" s="69">
        <f>H23+I23</f>
        <v>690172</v>
      </c>
      <c r="H23" s="83">
        <f>162155+137600</f>
        <v>299755</v>
      </c>
      <c r="I23" s="83">
        <v>390417</v>
      </c>
      <c r="J23" s="83">
        <v>390417</v>
      </c>
    </row>
    <row r="24" spans="1:10" s="36" customFormat="1" ht="83.45" customHeight="1" x14ac:dyDescent="0.2">
      <c r="A24" s="23" t="s">
        <v>427</v>
      </c>
      <c r="B24" s="23" t="s">
        <v>428</v>
      </c>
      <c r="C24" s="23" t="s">
        <v>411</v>
      </c>
      <c r="D24" s="24" t="s">
        <v>429</v>
      </c>
      <c r="E24" s="25"/>
      <c r="F24" s="25"/>
      <c r="G24" s="69">
        <f>H24+I24</f>
        <v>280025</v>
      </c>
      <c r="H24" s="83">
        <f>99870+150155</f>
        <v>250025</v>
      </c>
      <c r="I24" s="83">
        <v>30000</v>
      </c>
      <c r="J24" s="83">
        <v>30000</v>
      </c>
    </row>
    <row r="25" spans="1:10" s="36" customFormat="1" ht="124.9" customHeight="1" x14ac:dyDescent="0.2">
      <c r="A25" s="23" t="s">
        <v>413</v>
      </c>
      <c r="B25" s="23" t="s">
        <v>414</v>
      </c>
      <c r="C25" s="23" t="s">
        <v>411</v>
      </c>
      <c r="D25" s="24" t="s">
        <v>431</v>
      </c>
      <c r="E25" s="25"/>
      <c r="F25" s="25"/>
      <c r="G25" s="69">
        <v>102155</v>
      </c>
      <c r="H25" s="83">
        <v>102155</v>
      </c>
      <c r="I25" s="69">
        <v>0</v>
      </c>
      <c r="J25" s="69">
        <v>0</v>
      </c>
    </row>
    <row r="26" spans="1:10" s="36" customFormat="1" ht="82.9" customHeight="1" x14ac:dyDescent="0.2">
      <c r="A26" s="23" t="s">
        <v>378</v>
      </c>
      <c r="B26" s="23" t="s">
        <v>379</v>
      </c>
      <c r="C26" s="23" t="s">
        <v>380</v>
      </c>
      <c r="D26" s="24" t="s">
        <v>381</v>
      </c>
      <c r="E26" s="25"/>
      <c r="F26" s="25"/>
      <c r="G26" s="69">
        <f>H26+I26</f>
        <v>570000</v>
      </c>
      <c r="H26" s="83">
        <f>420000+150000</f>
        <v>570000</v>
      </c>
      <c r="I26" s="69"/>
      <c r="J26" s="69"/>
    </row>
    <row r="27" spans="1:10" s="36" customFormat="1" ht="77.25" customHeight="1" x14ac:dyDescent="0.2">
      <c r="A27" s="30" t="s">
        <v>40</v>
      </c>
      <c r="B27" s="34"/>
      <c r="C27" s="34"/>
      <c r="D27" s="31" t="s">
        <v>5</v>
      </c>
      <c r="E27" s="37"/>
      <c r="F27" s="37"/>
      <c r="G27" s="69">
        <f>G28</f>
        <v>8571461</v>
      </c>
      <c r="H27" s="69">
        <f>H28</f>
        <v>5245827</v>
      </c>
      <c r="I27" s="69">
        <f>I28</f>
        <v>3325634</v>
      </c>
      <c r="J27" s="69">
        <f>J28</f>
        <v>3325634</v>
      </c>
    </row>
    <row r="28" spans="1:10" s="36" customFormat="1" ht="77.25" customHeight="1" x14ac:dyDescent="0.2">
      <c r="A28" s="30" t="s">
        <v>41</v>
      </c>
      <c r="B28" s="34"/>
      <c r="C28" s="34"/>
      <c r="D28" s="31" t="s">
        <v>5</v>
      </c>
      <c r="E28" s="37"/>
      <c r="F28" s="37"/>
      <c r="G28" s="69">
        <f>G29+G30+G31</f>
        <v>8571461</v>
      </c>
      <c r="H28" s="69">
        <f>H29+H30+H31</f>
        <v>5245827</v>
      </c>
      <c r="I28" s="69">
        <f>I29+I30+I31</f>
        <v>3325634</v>
      </c>
      <c r="J28" s="69">
        <f>J29+J30+J31</f>
        <v>3325634</v>
      </c>
    </row>
    <row r="29" spans="1:10" s="26" customFormat="1" ht="55.5" customHeight="1" x14ac:dyDescent="0.2">
      <c r="A29" s="23" t="s">
        <v>361</v>
      </c>
      <c r="B29" s="23" t="s">
        <v>362</v>
      </c>
      <c r="C29" s="23" t="s">
        <v>363</v>
      </c>
      <c r="D29" s="24" t="s">
        <v>364</v>
      </c>
      <c r="E29" s="28"/>
      <c r="F29" s="28"/>
      <c r="G29" s="69">
        <f>H29+I29</f>
        <v>4999051</v>
      </c>
      <c r="H29" s="72">
        <f>2388672+150000-100000</f>
        <v>2438672</v>
      </c>
      <c r="I29" s="72">
        <v>2560379</v>
      </c>
      <c r="J29" s="72">
        <v>2560379</v>
      </c>
    </row>
    <row r="30" spans="1:10" s="26" customFormat="1" ht="55.5" customHeight="1" x14ac:dyDescent="0.2">
      <c r="A30" s="23" t="s">
        <v>144</v>
      </c>
      <c r="B30" s="23" t="s">
        <v>145</v>
      </c>
      <c r="C30" s="23" t="s">
        <v>146</v>
      </c>
      <c r="D30" s="24" t="s">
        <v>147</v>
      </c>
      <c r="E30" s="28"/>
      <c r="F30" s="28"/>
      <c r="G30" s="69">
        <f>H30+I30</f>
        <v>3292410</v>
      </c>
      <c r="H30" s="72">
        <f>2427155+100000+100000+100000</f>
        <v>2727155</v>
      </c>
      <c r="I30" s="72">
        <v>565255</v>
      </c>
      <c r="J30" s="72">
        <v>565255</v>
      </c>
    </row>
    <row r="31" spans="1:10" s="26" customFormat="1" ht="55.5" customHeight="1" x14ac:dyDescent="0.2">
      <c r="A31" s="23" t="s">
        <v>396</v>
      </c>
      <c r="B31" s="23" t="s">
        <v>400</v>
      </c>
      <c r="C31" s="23" t="s">
        <v>402</v>
      </c>
      <c r="D31" s="24" t="s">
        <v>401</v>
      </c>
      <c r="E31" s="28"/>
      <c r="F31" s="28"/>
      <c r="G31" s="69">
        <f>H31+I31</f>
        <v>280000</v>
      </c>
      <c r="H31" s="72">
        <v>80000</v>
      </c>
      <c r="I31" s="72">
        <v>200000</v>
      </c>
      <c r="J31" s="72">
        <v>200000</v>
      </c>
    </row>
    <row r="32" spans="1:10" s="26" customFormat="1" ht="80.25" customHeight="1" x14ac:dyDescent="0.2">
      <c r="A32" s="30" t="s">
        <v>42</v>
      </c>
      <c r="B32" s="30"/>
      <c r="C32" s="30"/>
      <c r="D32" s="31" t="s">
        <v>11</v>
      </c>
      <c r="E32" s="28"/>
      <c r="F32" s="28"/>
      <c r="G32" s="69">
        <f>H32+I32</f>
        <v>400000</v>
      </c>
      <c r="H32" s="69">
        <f>H33</f>
        <v>300000</v>
      </c>
      <c r="I32" s="69">
        <f>I33</f>
        <v>100000</v>
      </c>
      <c r="J32" s="69">
        <f>J33</f>
        <v>100000</v>
      </c>
    </row>
    <row r="33" spans="1:11" s="26" customFormat="1" ht="80.25" customHeight="1" x14ac:dyDescent="0.2">
      <c r="A33" s="30" t="s">
        <v>43</v>
      </c>
      <c r="B33" s="30"/>
      <c r="C33" s="30"/>
      <c r="D33" s="31" t="s">
        <v>11</v>
      </c>
      <c r="E33" s="28"/>
      <c r="F33" s="28"/>
      <c r="G33" s="69">
        <f>G34+G35+G36+G37</f>
        <v>400000</v>
      </c>
      <c r="H33" s="69">
        <f>H34+H35+H36+H37</f>
        <v>300000</v>
      </c>
      <c r="I33" s="69">
        <f>I34+I35+I36+I37</f>
        <v>100000</v>
      </c>
      <c r="J33" s="69">
        <f>J34+J35+J36+J37</f>
        <v>100000</v>
      </c>
    </row>
    <row r="34" spans="1:11" s="26" customFormat="1" ht="80.25" customHeight="1" x14ac:dyDescent="0.2">
      <c r="A34" s="23" t="s">
        <v>420</v>
      </c>
      <c r="B34" s="23" t="s">
        <v>421</v>
      </c>
      <c r="C34" s="23" t="s">
        <v>14</v>
      </c>
      <c r="D34" s="24" t="s">
        <v>422</v>
      </c>
      <c r="E34" s="28"/>
      <c r="F34" s="28"/>
      <c r="G34" s="69">
        <f>H34</f>
        <v>150000</v>
      </c>
      <c r="H34" s="83">
        <v>150000</v>
      </c>
      <c r="I34" s="69"/>
      <c r="J34" s="69"/>
    </row>
    <row r="35" spans="1:11" s="26" customFormat="1" ht="149.44999999999999" customHeight="1" x14ac:dyDescent="0.2">
      <c r="A35" s="23" t="s">
        <v>423</v>
      </c>
      <c r="B35" s="23" t="s">
        <v>424</v>
      </c>
      <c r="C35" s="23" t="s">
        <v>425</v>
      </c>
      <c r="D35" s="24" t="s">
        <v>426</v>
      </c>
      <c r="E35" s="28"/>
      <c r="F35" s="28"/>
      <c r="G35" s="69">
        <f>H35+I35</f>
        <v>50000</v>
      </c>
      <c r="H35" s="83">
        <v>50000</v>
      </c>
      <c r="I35" s="69"/>
      <c r="J35" s="69"/>
    </row>
    <row r="36" spans="1:11" s="36" customFormat="1" ht="52.9" customHeight="1" x14ac:dyDescent="0.2">
      <c r="A36" s="23" t="s">
        <v>52</v>
      </c>
      <c r="B36" s="23" t="s">
        <v>124</v>
      </c>
      <c r="C36" s="23" t="s">
        <v>14</v>
      </c>
      <c r="D36" s="24" t="s">
        <v>217</v>
      </c>
      <c r="E36" s="25"/>
      <c r="F36" s="25"/>
      <c r="G36" s="69">
        <f>H36+I36</f>
        <v>100000</v>
      </c>
      <c r="H36" s="83"/>
      <c r="I36" s="83">
        <v>100000</v>
      </c>
      <c r="J36" s="83">
        <v>100000</v>
      </c>
    </row>
    <row r="37" spans="1:11" s="36" customFormat="1" ht="126.6" customHeight="1" x14ac:dyDescent="0.2">
      <c r="A37" s="23" t="s">
        <v>435</v>
      </c>
      <c r="B37" s="23" t="s">
        <v>436</v>
      </c>
      <c r="C37" s="23" t="s">
        <v>9</v>
      </c>
      <c r="D37" s="24" t="s">
        <v>437</v>
      </c>
      <c r="E37" s="25"/>
      <c r="F37" s="25"/>
      <c r="G37" s="69">
        <f>H37+I37</f>
        <v>100000</v>
      </c>
      <c r="H37" s="83">
        <v>100000</v>
      </c>
      <c r="I37" s="83"/>
      <c r="J37" s="83"/>
    </row>
    <row r="38" spans="1:11" s="36" customFormat="1" ht="77.25" customHeight="1" x14ac:dyDescent="0.2">
      <c r="A38" s="30" t="s">
        <v>161</v>
      </c>
      <c r="B38" s="34"/>
      <c r="C38" s="34"/>
      <c r="D38" s="31" t="s">
        <v>163</v>
      </c>
      <c r="E38" s="37"/>
      <c r="F38" s="37"/>
      <c r="G38" s="69">
        <f>G39</f>
        <v>395000</v>
      </c>
      <c r="H38" s="69">
        <f>H39</f>
        <v>123000</v>
      </c>
      <c r="I38" s="69">
        <f>I39</f>
        <v>272000</v>
      </c>
      <c r="J38" s="69">
        <f>J39</f>
        <v>272000</v>
      </c>
    </row>
    <row r="39" spans="1:11" s="36" customFormat="1" ht="77.25" customHeight="1" x14ac:dyDescent="0.2">
      <c r="A39" s="30" t="s">
        <v>162</v>
      </c>
      <c r="B39" s="34"/>
      <c r="C39" s="34"/>
      <c r="D39" s="31" t="s">
        <v>163</v>
      </c>
      <c r="E39" s="37"/>
      <c r="F39" s="37"/>
      <c r="G39" s="69">
        <f>G41+G42+G40</f>
        <v>395000</v>
      </c>
      <c r="H39" s="69">
        <f>H41+H42+H40</f>
        <v>123000</v>
      </c>
      <c r="I39" s="69">
        <f>I41+I42+I40</f>
        <v>272000</v>
      </c>
      <c r="J39" s="69">
        <f>J41+J42+J40</f>
        <v>272000</v>
      </c>
    </row>
    <row r="40" spans="1:11" s="36" customFormat="1" ht="60.6" customHeight="1" x14ac:dyDescent="0.2">
      <c r="A40" s="23" t="s">
        <v>416</v>
      </c>
      <c r="B40" s="23" t="s">
        <v>417</v>
      </c>
      <c r="C40" s="23" t="s">
        <v>418</v>
      </c>
      <c r="D40" s="24" t="s">
        <v>419</v>
      </c>
      <c r="E40" s="25"/>
      <c r="F40" s="25"/>
      <c r="G40" s="69">
        <f>H40+I40</f>
        <v>180000</v>
      </c>
      <c r="H40" s="72"/>
      <c r="I40" s="72">
        <v>180000</v>
      </c>
      <c r="J40" s="72">
        <v>180000</v>
      </c>
    </row>
    <row r="41" spans="1:11" s="26" customFormat="1" ht="55.5" customHeight="1" x14ac:dyDescent="0.2">
      <c r="A41" s="23" t="s">
        <v>397</v>
      </c>
      <c r="B41" s="23" t="s">
        <v>398</v>
      </c>
      <c r="C41" s="23" t="s">
        <v>164</v>
      </c>
      <c r="D41" s="24" t="s">
        <v>399</v>
      </c>
      <c r="E41" s="28"/>
      <c r="F41" s="28"/>
      <c r="G41" s="69">
        <f>H41+I41</f>
        <v>115000</v>
      </c>
      <c r="H41" s="72">
        <v>23000</v>
      </c>
      <c r="I41" s="72">
        <v>92000</v>
      </c>
      <c r="J41" s="72">
        <v>92000</v>
      </c>
    </row>
    <row r="42" spans="1:11" s="26" customFormat="1" ht="55.5" customHeight="1" x14ac:dyDescent="0.2">
      <c r="A42" s="23" t="s">
        <v>165</v>
      </c>
      <c r="B42" s="23" t="s">
        <v>166</v>
      </c>
      <c r="C42" s="23" t="s">
        <v>164</v>
      </c>
      <c r="D42" s="24" t="s">
        <v>167</v>
      </c>
      <c r="E42" s="28"/>
      <c r="F42" s="28"/>
      <c r="G42" s="69">
        <f>H42+I42</f>
        <v>100000</v>
      </c>
      <c r="H42" s="72">
        <v>100000</v>
      </c>
      <c r="I42" s="71"/>
      <c r="J42" s="71"/>
    </row>
    <row r="43" spans="1:11" s="36" customFormat="1" ht="88.9" customHeight="1" x14ac:dyDescent="0.2">
      <c r="A43" s="30" t="s">
        <v>44</v>
      </c>
      <c r="B43" s="34"/>
      <c r="C43" s="34"/>
      <c r="D43" s="31" t="s">
        <v>286</v>
      </c>
      <c r="E43" s="37"/>
      <c r="F43" s="37"/>
      <c r="G43" s="69">
        <f>G44</f>
        <v>352154</v>
      </c>
      <c r="H43" s="69">
        <f>H44</f>
        <v>202155</v>
      </c>
      <c r="I43" s="69">
        <f>I44</f>
        <v>149999</v>
      </c>
      <c r="J43" s="69">
        <f>J44</f>
        <v>149999</v>
      </c>
    </row>
    <row r="44" spans="1:11" s="36" customFormat="1" ht="88.9" customHeight="1" x14ac:dyDescent="0.2">
      <c r="A44" s="30" t="s">
        <v>45</v>
      </c>
      <c r="B44" s="34"/>
      <c r="C44" s="34"/>
      <c r="D44" s="31" t="s">
        <v>286</v>
      </c>
      <c r="E44" s="37"/>
      <c r="F44" s="37"/>
      <c r="G44" s="69">
        <f>G46+G45+G47</f>
        <v>352154</v>
      </c>
      <c r="H44" s="69">
        <f>H46+H45+H47</f>
        <v>202155</v>
      </c>
      <c r="I44" s="69">
        <f>I46+I45+I47</f>
        <v>149999</v>
      </c>
      <c r="J44" s="69">
        <f>J46+J45+J47</f>
        <v>149999</v>
      </c>
    </row>
    <row r="45" spans="1:11" s="36" customFormat="1" ht="81.599999999999994" customHeight="1" x14ac:dyDescent="0.2">
      <c r="A45" s="23" t="s">
        <v>73</v>
      </c>
      <c r="B45" s="23" t="s">
        <v>33</v>
      </c>
      <c r="C45" s="23" t="s">
        <v>16</v>
      </c>
      <c r="D45" s="24" t="s">
        <v>327</v>
      </c>
      <c r="E45" s="25"/>
      <c r="F45" s="25"/>
      <c r="G45" s="69">
        <f>H45+I45</f>
        <v>49999</v>
      </c>
      <c r="H45" s="69">
        <v>0</v>
      </c>
      <c r="I45" s="83">
        <v>49999</v>
      </c>
      <c r="J45" s="83">
        <v>49999</v>
      </c>
    </row>
    <row r="46" spans="1:11" s="26" customFormat="1" ht="55.5" customHeight="1" x14ac:dyDescent="0.2">
      <c r="A46" s="23" t="s">
        <v>56</v>
      </c>
      <c r="B46" s="23" t="s">
        <v>34</v>
      </c>
      <c r="C46" s="23" t="s">
        <v>16</v>
      </c>
      <c r="D46" s="24" t="s">
        <v>219</v>
      </c>
      <c r="E46" s="28"/>
      <c r="F46" s="28"/>
      <c r="G46" s="69">
        <f>H46+I46</f>
        <v>200000</v>
      </c>
      <c r="H46" s="72">
        <v>100000</v>
      </c>
      <c r="I46" s="72">
        <v>100000</v>
      </c>
      <c r="J46" s="72">
        <v>100000</v>
      </c>
    </row>
    <row r="47" spans="1:11" s="36" customFormat="1" ht="74.45" customHeight="1" x14ac:dyDescent="0.2">
      <c r="A47" s="23" t="s">
        <v>280</v>
      </c>
      <c r="B47" s="23" t="s">
        <v>281</v>
      </c>
      <c r="C47" s="23" t="s">
        <v>16</v>
      </c>
      <c r="D47" s="24" t="s">
        <v>332</v>
      </c>
      <c r="E47" s="25"/>
      <c r="F47" s="25"/>
      <c r="G47" s="69">
        <f>H47+I47</f>
        <v>102155</v>
      </c>
      <c r="H47" s="83">
        <v>102155</v>
      </c>
      <c r="I47" s="69"/>
      <c r="J47" s="69"/>
    </row>
    <row r="48" spans="1:11" s="41" customFormat="1" ht="96.6" customHeight="1" x14ac:dyDescent="0.2">
      <c r="A48" s="38" t="s">
        <v>202</v>
      </c>
      <c r="B48" s="38"/>
      <c r="C48" s="38"/>
      <c r="D48" s="39" t="s">
        <v>205</v>
      </c>
      <c r="E48" s="40"/>
      <c r="F48" s="40"/>
      <c r="G48" s="79">
        <f t="shared" ref="G48:J49" si="0">G49</f>
        <v>150000</v>
      </c>
      <c r="H48" s="79">
        <f t="shared" si="0"/>
        <v>0</v>
      </c>
      <c r="I48" s="79">
        <f t="shared" si="0"/>
        <v>150000</v>
      </c>
      <c r="J48" s="79">
        <f t="shared" si="0"/>
        <v>150000</v>
      </c>
      <c r="K48" s="22"/>
    </row>
    <row r="49" spans="1:11" s="41" customFormat="1" ht="84.6" customHeight="1" x14ac:dyDescent="0.2">
      <c r="A49" s="38" t="s">
        <v>203</v>
      </c>
      <c r="B49" s="38"/>
      <c r="C49" s="38"/>
      <c r="D49" s="39" t="s">
        <v>205</v>
      </c>
      <c r="E49" s="40"/>
      <c r="F49" s="40"/>
      <c r="G49" s="79">
        <f t="shared" si="0"/>
        <v>150000</v>
      </c>
      <c r="H49" s="79">
        <f t="shared" si="0"/>
        <v>0</v>
      </c>
      <c r="I49" s="79">
        <f t="shared" si="0"/>
        <v>150000</v>
      </c>
      <c r="J49" s="79">
        <f t="shared" si="0"/>
        <v>150000</v>
      </c>
      <c r="K49" s="22"/>
    </row>
    <row r="50" spans="1:11" s="26" customFormat="1" ht="70.900000000000006" customHeight="1" x14ac:dyDescent="0.2">
      <c r="A50" s="23" t="s">
        <v>204</v>
      </c>
      <c r="B50" s="23" t="s">
        <v>198</v>
      </c>
      <c r="C50" s="23" t="s">
        <v>8</v>
      </c>
      <c r="D50" s="24" t="s">
        <v>200</v>
      </c>
      <c r="E50" s="58"/>
      <c r="F50" s="32"/>
      <c r="G50" s="69">
        <f>H50+I50</f>
        <v>150000</v>
      </c>
      <c r="H50" s="32"/>
      <c r="I50" s="32">
        <v>150000</v>
      </c>
      <c r="J50" s="32">
        <v>150000</v>
      </c>
    </row>
    <row r="51" spans="1:11" s="36" customFormat="1" ht="111" customHeight="1" x14ac:dyDescent="0.2">
      <c r="A51" s="23"/>
      <c r="B51" s="23"/>
      <c r="C51" s="23"/>
      <c r="D51" s="24"/>
      <c r="E51" s="25" t="s">
        <v>450</v>
      </c>
      <c r="F51" s="25" t="s">
        <v>316</v>
      </c>
      <c r="G51" s="69">
        <f>H51+I51</f>
        <v>100000</v>
      </c>
      <c r="H51" s="70">
        <f>H53</f>
        <v>100000</v>
      </c>
      <c r="I51" s="70">
        <f>I53</f>
        <v>0</v>
      </c>
      <c r="J51" s="70">
        <f>J53</f>
        <v>0</v>
      </c>
    </row>
    <row r="52" spans="1:11" s="26" customFormat="1" ht="30.6" customHeight="1" x14ac:dyDescent="0.2">
      <c r="A52" s="27"/>
      <c r="B52" s="27"/>
      <c r="C52" s="27"/>
      <c r="D52" s="27"/>
      <c r="E52" s="28" t="s">
        <v>2</v>
      </c>
      <c r="F52" s="28"/>
      <c r="G52" s="69">
        <v>0</v>
      </c>
      <c r="H52" s="71"/>
      <c r="I52" s="71"/>
      <c r="J52" s="70">
        <v>0</v>
      </c>
    </row>
    <row r="53" spans="1:11" s="26" customFormat="1" ht="38.450000000000003" customHeight="1" x14ac:dyDescent="0.2">
      <c r="A53" s="30" t="s">
        <v>28</v>
      </c>
      <c r="B53" s="30"/>
      <c r="C53" s="30"/>
      <c r="D53" s="31" t="s">
        <v>3</v>
      </c>
      <c r="E53" s="28"/>
      <c r="F53" s="28"/>
      <c r="G53" s="69">
        <f>H53+I53</f>
        <v>100000</v>
      </c>
      <c r="H53" s="71">
        <f t="shared" ref="H53:J54" si="1">H54</f>
        <v>100000</v>
      </c>
      <c r="I53" s="71">
        <f t="shared" si="1"/>
        <v>0</v>
      </c>
      <c r="J53" s="71">
        <f t="shared" si="1"/>
        <v>0</v>
      </c>
    </row>
    <row r="54" spans="1:11" s="26" customFormat="1" ht="38.450000000000003" customHeight="1" x14ac:dyDescent="0.2">
      <c r="A54" s="30" t="s">
        <v>29</v>
      </c>
      <c r="B54" s="30"/>
      <c r="C54" s="30"/>
      <c r="D54" s="31" t="s">
        <v>3</v>
      </c>
      <c r="E54" s="28"/>
      <c r="F54" s="28"/>
      <c r="G54" s="69">
        <f>G55</f>
        <v>100000</v>
      </c>
      <c r="H54" s="69">
        <f t="shared" si="1"/>
        <v>100000</v>
      </c>
      <c r="I54" s="69">
        <f t="shared" si="1"/>
        <v>0</v>
      </c>
      <c r="J54" s="69">
        <f t="shared" si="1"/>
        <v>0</v>
      </c>
    </row>
    <row r="55" spans="1:11" s="26" customFormat="1" ht="38.450000000000003" customHeight="1" x14ac:dyDescent="0.2">
      <c r="A55" s="23" t="s">
        <v>86</v>
      </c>
      <c r="B55" s="23" t="s">
        <v>74</v>
      </c>
      <c r="C55" s="23" t="s">
        <v>4</v>
      </c>
      <c r="D55" s="24" t="s">
        <v>159</v>
      </c>
      <c r="E55" s="28"/>
      <c r="F55" s="28"/>
      <c r="G55" s="69">
        <f>H55+I55</f>
        <v>100000</v>
      </c>
      <c r="H55" s="72">
        <v>100000</v>
      </c>
      <c r="I55" s="71"/>
      <c r="J55" s="71"/>
    </row>
    <row r="56" spans="1:11" s="36" customFormat="1" ht="171" customHeight="1" x14ac:dyDescent="0.2">
      <c r="A56" s="23"/>
      <c r="B56" s="23"/>
      <c r="C56" s="23"/>
      <c r="D56" s="24"/>
      <c r="E56" s="25" t="s">
        <v>294</v>
      </c>
      <c r="F56" s="25" t="s">
        <v>241</v>
      </c>
      <c r="G56" s="69">
        <f>H56+I56</f>
        <v>817845745</v>
      </c>
      <c r="H56" s="70">
        <f>H58</f>
        <v>31783745</v>
      </c>
      <c r="I56" s="70">
        <f>I58</f>
        <v>786062000</v>
      </c>
      <c r="J56" s="70">
        <f>J58</f>
        <v>786062000</v>
      </c>
    </row>
    <row r="57" spans="1:11" s="26" customFormat="1" ht="30.6" customHeight="1" x14ac:dyDescent="0.2">
      <c r="A57" s="27"/>
      <c r="B57" s="27"/>
      <c r="C57" s="27"/>
      <c r="D57" s="27"/>
      <c r="E57" s="28" t="s">
        <v>2</v>
      </c>
      <c r="F57" s="28"/>
      <c r="G57" s="69">
        <v>0</v>
      </c>
      <c r="H57" s="71"/>
      <c r="I57" s="71"/>
      <c r="J57" s="70">
        <v>0</v>
      </c>
    </row>
    <row r="58" spans="1:11" s="26" customFormat="1" ht="38.450000000000003" customHeight="1" x14ac:dyDescent="0.2">
      <c r="A58" s="30" t="s">
        <v>28</v>
      </c>
      <c r="B58" s="30"/>
      <c r="C58" s="30"/>
      <c r="D58" s="31" t="s">
        <v>3</v>
      </c>
      <c r="E58" s="28"/>
      <c r="F58" s="28"/>
      <c r="G58" s="69">
        <f>H58+I58</f>
        <v>817845745</v>
      </c>
      <c r="H58" s="71">
        <f>H59</f>
        <v>31783745</v>
      </c>
      <c r="I58" s="71">
        <f>I59</f>
        <v>786062000</v>
      </c>
      <c r="J58" s="71">
        <f>J59</f>
        <v>786062000</v>
      </c>
    </row>
    <row r="59" spans="1:11" s="26" customFormat="1" ht="38.450000000000003" customHeight="1" x14ac:dyDescent="0.2">
      <c r="A59" s="30" t="s">
        <v>29</v>
      </c>
      <c r="B59" s="30"/>
      <c r="C59" s="30"/>
      <c r="D59" s="31" t="s">
        <v>3</v>
      </c>
      <c r="E59" s="28"/>
      <c r="F59" s="28"/>
      <c r="G59" s="69">
        <f>H59+I59</f>
        <v>817845745</v>
      </c>
      <c r="H59" s="71">
        <f>H60+H61</f>
        <v>31783745</v>
      </c>
      <c r="I59" s="71">
        <f>I60+I61</f>
        <v>786062000</v>
      </c>
      <c r="J59" s="71">
        <f>J60+J61</f>
        <v>786062000</v>
      </c>
    </row>
    <row r="60" spans="1:11" s="26" customFormat="1" ht="38.450000000000003" customHeight="1" x14ac:dyDescent="0.2">
      <c r="A60" s="23" t="s">
        <v>59</v>
      </c>
      <c r="B60" s="23" t="s">
        <v>60</v>
      </c>
      <c r="C60" s="23" t="s">
        <v>4</v>
      </c>
      <c r="D60" s="24" t="s">
        <v>32</v>
      </c>
      <c r="E60" s="28"/>
      <c r="F60" s="28"/>
      <c r="G60" s="69">
        <f>H60+I60</f>
        <v>784650000</v>
      </c>
      <c r="H60" s="72"/>
      <c r="I60" s="72">
        <f>600000000+150000000-30000000+12100000+37200000+15350000</f>
        <v>784650000</v>
      </c>
      <c r="J60" s="72">
        <f>600000000+150000000-30000000+12100000+37200000+15350000</f>
        <v>784650000</v>
      </c>
    </row>
    <row r="61" spans="1:11" s="26" customFormat="1" ht="38.450000000000003" customHeight="1" x14ac:dyDescent="0.2">
      <c r="A61" s="23" t="s">
        <v>86</v>
      </c>
      <c r="B61" s="23" t="s">
        <v>74</v>
      </c>
      <c r="C61" s="23" t="s">
        <v>4</v>
      </c>
      <c r="D61" s="24" t="s">
        <v>159</v>
      </c>
      <c r="E61" s="28"/>
      <c r="F61" s="28"/>
      <c r="G61" s="69">
        <f>H61+I61</f>
        <v>33195745</v>
      </c>
      <c r="H61" s="72">
        <f>22605900+9177845</f>
        <v>31783745</v>
      </c>
      <c r="I61" s="72">
        <v>1412000</v>
      </c>
      <c r="J61" s="72">
        <v>1412000</v>
      </c>
    </row>
    <row r="62" spans="1:11" s="26" customFormat="1" ht="83.25" customHeight="1" x14ac:dyDescent="0.2">
      <c r="A62" s="23"/>
      <c r="B62" s="23"/>
      <c r="C62" s="23"/>
      <c r="D62" s="24"/>
      <c r="E62" s="25" t="s">
        <v>451</v>
      </c>
      <c r="F62" s="25" t="s">
        <v>240</v>
      </c>
      <c r="G62" s="69">
        <f>H62+I62</f>
        <v>558827722.56999993</v>
      </c>
      <c r="H62" s="70">
        <f>H64</f>
        <v>414389821.56999999</v>
      </c>
      <c r="I62" s="70">
        <f>I64</f>
        <v>144437901</v>
      </c>
      <c r="J62" s="70">
        <f>J64</f>
        <v>144437901</v>
      </c>
    </row>
    <row r="63" spans="1:11" s="26" customFormat="1" ht="30.6" customHeight="1" x14ac:dyDescent="0.2">
      <c r="A63" s="27"/>
      <c r="B63" s="27"/>
      <c r="C63" s="27"/>
      <c r="D63" s="27"/>
      <c r="E63" s="28" t="s">
        <v>2</v>
      </c>
      <c r="F63" s="28"/>
      <c r="G63" s="69">
        <v>0</v>
      </c>
      <c r="H63" s="71"/>
      <c r="I63" s="71"/>
      <c r="J63" s="70"/>
    </row>
    <row r="64" spans="1:11" s="26" customFormat="1" ht="82.9" customHeight="1" x14ac:dyDescent="0.2">
      <c r="A64" s="30" t="s">
        <v>40</v>
      </c>
      <c r="B64" s="30"/>
      <c r="C64" s="30"/>
      <c r="D64" s="31" t="s">
        <v>5</v>
      </c>
      <c r="E64" s="28"/>
      <c r="F64" s="28"/>
      <c r="G64" s="69">
        <f t="shared" ref="G64:G73" si="2">H64+I64</f>
        <v>558827722.56999993</v>
      </c>
      <c r="H64" s="69">
        <f>H65</f>
        <v>414389821.56999999</v>
      </c>
      <c r="I64" s="69">
        <f>I65</f>
        <v>144437901</v>
      </c>
      <c r="J64" s="69">
        <f>J65</f>
        <v>144437901</v>
      </c>
    </row>
    <row r="65" spans="1:11" s="26" customFormat="1" ht="82.9" customHeight="1" x14ac:dyDescent="0.2">
      <c r="A65" s="30" t="s">
        <v>41</v>
      </c>
      <c r="B65" s="30"/>
      <c r="C65" s="30"/>
      <c r="D65" s="31" t="s">
        <v>5</v>
      </c>
      <c r="E65" s="28"/>
      <c r="F65" s="28"/>
      <c r="G65" s="69">
        <f>H65+I65</f>
        <v>558827722.56999993</v>
      </c>
      <c r="H65" s="69">
        <f>SUM(H66:H72)</f>
        <v>414389821.56999999</v>
      </c>
      <c r="I65" s="69">
        <f>SUM(I66:I72)</f>
        <v>144437901</v>
      </c>
      <c r="J65" s="69">
        <f>SUM(J66:J72)</f>
        <v>144437901</v>
      </c>
    </row>
    <row r="66" spans="1:11" s="26" customFormat="1" ht="50.45" customHeight="1" x14ac:dyDescent="0.2">
      <c r="A66" s="23" t="s">
        <v>361</v>
      </c>
      <c r="B66" s="23" t="s">
        <v>362</v>
      </c>
      <c r="C66" s="23" t="s">
        <v>363</v>
      </c>
      <c r="D66" s="24" t="s">
        <v>364</v>
      </c>
      <c r="E66" s="28"/>
      <c r="F66" s="28"/>
      <c r="G66" s="69">
        <f>H66+I66</f>
        <v>58143897</v>
      </c>
      <c r="H66" s="72">
        <v>2360974</v>
      </c>
      <c r="I66" s="72">
        <f>63461017-7678094</f>
        <v>55782923</v>
      </c>
      <c r="J66" s="72">
        <f>63461017-7678094</f>
        <v>55782923</v>
      </c>
    </row>
    <row r="67" spans="1:11" s="26" customFormat="1" ht="38.450000000000003" customHeight="1" x14ac:dyDescent="0.2">
      <c r="A67" s="23" t="s">
        <v>144</v>
      </c>
      <c r="B67" s="23" t="s">
        <v>145</v>
      </c>
      <c r="C67" s="23" t="s">
        <v>146</v>
      </c>
      <c r="D67" s="24" t="s">
        <v>147</v>
      </c>
      <c r="E67" s="28"/>
      <c r="F67" s="28"/>
      <c r="G67" s="69">
        <f t="shared" si="2"/>
        <v>246104995</v>
      </c>
      <c r="H67" s="72">
        <f>163493557-43540</f>
        <v>163450017</v>
      </c>
      <c r="I67" s="72">
        <f>74304978+8350000</f>
        <v>82654978</v>
      </c>
      <c r="J67" s="72">
        <f>74304978+8350000</f>
        <v>82654978</v>
      </c>
    </row>
    <row r="68" spans="1:11" s="26" customFormat="1" ht="52.15" customHeight="1" x14ac:dyDescent="0.2">
      <c r="A68" s="23" t="s">
        <v>148</v>
      </c>
      <c r="B68" s="23" t="s">
        <v>149</v>
      </c>
      <c r="C68" s="23" t="s">
        <v>150</v>
      </c>
      <c r="D68" s="24" t="s">
        <v>151</v>
      </c>
      <c r="E68" s="28"/>
      <c r="F68" s="28"/>
      <c r="G68" s="69">
        <f t="shared" si="2"/>
        <v>12350776</v>
      </c>
      <c r="H68" s="72">
        <v>12350776</v>
      </c>
      <c r="I68" s="71"/>
      <c r="J68" s="71"/>
    </row>
    <row r="69" spans="1:11" s="26" customFormat="1" ht="54" customHeight="1" x14ac:dyDescent="0.2">
      <c r="A69" s="23" t="s">
        <v>152</v>
      </c>
      <c r="B69" s="23" t="s">
        <v>153</v>
      </c>
      <c r="C69" s="23" t="s">
        <v>6</v>
      </c>
      <c r="D69" s="24" t="s">
        <v>215</v>
      </c>
      <c r="E69" s="28"/>
      <c r="F69" s="28"/>
      <c r="G69" s="69">
        <f t="shared" si="2"/>
        <v>1937052.57</v>
      </c>
      <c r="H69" s="72">
        <v>1937052.57</v>
      </c>
      <c r="I69" s="71"/>
      <c r="J69" s="71"/>
    </row>
    <row r="70" spans="1:11" s="26" customFormat="1" ht="48.6" customHeight="1" x14ac:dyDescent="0.2">
      <c r="A70" s="23" t="s">
        <v>111</v>
      </c>
      <c r="B70" s="23" t="s">
        <v>110</v>
      </c>
      <c r="C70" s="23" t="s">
        <v>6</v>
      </c>
      <c r="D70" s="33" t="s">
        <v>221</v>
      </c>
      <c r="E70" s="28"/>
      <c r="F70" s="28"/>
      <c r="G70" s="69">
        <f t="shared" si="2"/>
        <v>82712019</v>
      </c>
      <c r="H70" s="78">
        <v>82712019</v>
      </c>
      <c r="I70" s="72"/>
      <c r="J70" s="72"/>
    </row>
    <row r="71" spans="1:11" s="26" customFormat="1" ht="38.450000000000003" customHeight="1" x14ac:dyDescent="0.2">
      <c r="A71" s="23" t="s">
        <v>97</v>
      </c>
      <c r="B71" s="23" t="s">
        <v>98</v>
      </c>
      <c r="C71" s="23" t="s">
        <v>6</v>
      </c>
      <c r="D71" s="24" t="s">
        <v>160</v>
      </c>
      <c r="E71" s="28"/>
      <c r="F71" s="28"/>
      <c r="G71" s="69">
        <f t="shared" si="2"/>
        <v>151578983</v>
      </c>
      <c r="H71" s="72">
        <v>151578983</v>
      </c>
      <c r="I71" s="72">
        <v>0</v>
      </c>
      <c r="J71" s="72">
        <v>0</v>
      </c>
    </row>
    <row r="72" spans="1:11" s="36" customFormat="1" ht="75" customHeight="1" x14ac:dyDescent="0.2">
      <c r="A72" s="23" t="s">
        <v>432</v>
      </c>
      <c r="B72" s="23" t="s">
        <v>433</v>
      </c>
      <c r="C72" s="23" t="s">
        <v>6</v>
      </c>
      <c r="D72" s="33" t="s">
        <v>434</v>
      </c>
      <c r="E72" s="25"/>
      <c r="F72" s="25"/>
      <c r="G72" s="69">
        <f>H72+I72</f>
        <v>6000000</v>
      </c>
      <c r="H72" s="69"/>
      <c r="I72" s="83">
        <v>6000000</v>
      </c>
      <c r="J72" s="83">
        <v>6000000</v>
      </c>
    </row>
    <row r="73" spans="1:11" s="26" customFormat="1" ht="99.75" customHeight="1" x14ac:dyDescent="0.2">
      <c r="A73" s="23"/>
      <c r="B73" s="23"/>
      <c r="C73" s="23"/>
      <c r="D73" s="24"/>
      <c r="E73" s="25" t="s">
        <v>452</v>
      </c>
      <c r="F73" s="25" t="s">
        <v>243</v>
      </c>
      <c r="G73" s="69">
        <f t="shared" si="2"/>
        <v>2837023</v>
      </c>
      <c r="H73" s="70">
        <f>H75</f>
        <v>2837023</v>
      </c>
      <c r="I73" s="70">
        <f>I75</f>
        <v>0</v>
      </c>
      <c r="J73" s="70">
        <f>J75</f>
        <v>0</v>
      </c>
    </row>
    <row r="74" spans="1:11" s="26" customFormat="1" ht="30.6" customHeight="1" x14ac:dyDescent="0.2">
      <c r="A74" s="27"/>
      <c r="B74" s="27"/>
      <c r="C74" s="27"/>
      <c r="D74" s="27"/>
      <c r="E74" s="28" t="s">
        <v>2</v>
      </c>
      <c r="F74" s="28"/>
      <c r="G74" s="69">
        <v>0</v>
      </c>
      <c r="H74" s="71"/>
      <c r="I74" s="71"/>
      <c r="J74" s="70"/>
    </row>
    <row r="75" spans="1:11" s="26" customFormat="1" ht="88.9" customHeight="1" x14ac:dyDescent="0.2">
      <c r="A75" s="30" t="s">
        <v>44</v>
      </c>
      <c r="B75" s="30"/>
      <c r="C75" s="30"/>
      <c r="D75" s="31" t="s">
        <v>286</v>
      </c>
      <c r="E75" s="28"/>
      <c r="F75" s="28"/>
      <c r="G75" s="69">
        <f>H75+I75</f>
        <v>2837023</v>
      </c>
      <c r="H75" s="69">
        <f>H76</f>
        <v>2837023</v>
      </c>
      <c r="I75" s="69">
        <f>I76</f>
        <v>0</v>
      </c>
      <c r="J75" s="69">
        <f>J76</f>
        <v>0</v>
      </c>
    </row>
    <row r="76" spans="1:11" s="26" customFormat="1" ht="88.9" customHeight="1" x14ac:dyDescent="0.2">
      <c r="A76" s="30" t="s">
        <v>45</v>
      </c>
      <c r="B76" s="30"/>
      <c r="C76" s="30"/>
      <c r="D76" s="31" t="s">
        <v>286</v>
      </c>
      <c r="E76" s="28"/>
      <c r="F76" s="28"/>
      <c r="G76" s="69">
        <f>H76+I76</f>
        <v>2837023</v>
      </c>
      <c r="H76" s="69">
        <f>H77+H78</f>
        <v>2837023</v>
      </c>
      <c r="I76" s="69">
        <f>I77+I78</f>
        <v>0</v>
      </c>
      <c r="J76" s="69">
        <f>J77+J78</f>
        <v>0</v>
      </c>
    </row>
    <row r="77" spans="1:11" s="26" customFormat="1" ht="70.900000000000006" customHeight="1" x14ac:dyDescent="0.2">
      <c r="A77" s="23" t="s">
        <v>47</v>
      </c>
      <c r="B77" s="23" t="s">
        <v>46</v>
      </c>
      <c r="C77" s="23" t="s">
        <v>9</v>
      </c>
      <c r="D77" s="33" t="s">
        <v>404</v>
      </c>
      <c r="E77" s="28"/>
      <c r="F77" s="28"/>
      <c r="G77" s="69">
        <f>H77+I77</f>
        <v>320000</v>
      </c>
      <c r="H77" s="72">
        <f>824920-204920-9700-290300</f>
        <v>320000</v>
      </c>
      <c r="I77" s="72"/>
      <c r="J77" s="72"/>
    </row>
    <row r="78" spans="1:11" s="26" customFormat="1" ht="87.6" customHeight="1" x14ac:dyDescent="0.2">
      <c r="A78" s="23" t="s">
        <v>134</v>
      </c>
      <c r="B78" s="23" t="s">
        <v>135</v>
      </c>
      <c r="C78" s="23" t="s">
        <v>9</v>
      </c>
      <c r="D78" s="24" t="s">
        <v>324</v>
      </c>
      <c r="E78" s="28"/>
      <c r="F78" s="28"/>
      <c r="G78" s="69">
        <f>H78+I78</f>
        <v>2517023</v>
      </c>
      <c r="H78" s="72">
        <f>2567023-49500-500</f>
        <v>2517023</v>
      </c>
      <c r="I78" s="71"/>
      <c r="J78" s="70"/>
    </row>
    <row r="79" spans="1:11" s="36" customFormat="1" ht="96" customHeight="1" x14ac:dyDescent="0.2">
      <c r="A79" s="23"/>
      <c r="B79" s="23"/>
      <c r="C79" s="23"/>
      <c r="D79" s="24"/>
      <c r="E79" s="25" t="s">
        <v>268</v>
      </c>
      <c r="F79" s="25" t="s">
        <v>370</v>
      </c>
      <c r="G79" s="69">
        <f>H79+I79</f>
        <v>62000</v>
      </c>
      <c r="H79" s="70">
        <f>H81</f>
        <v>62000</v>
      </c>
      <c r="I79" s="70">
        <f>I81</f>
        <v>0</v>
      </c>
      <c r="J79" s="70">
        <f>J81</f>
        <v>0</v>
      </c>
      <c r="K79" s="26"/>
    </row>
    <row r="80" spans="1:11" s="26" customFormat="1" ht="30.6" customHeight="1" x14ac:dyDescent="0.2">
      <c r="A80" s="27"/>
      <c r="B80" s="27"/>
      <c r="C80" s="27"/>
      <c r="D80" s="27"/>
      <c r="E80" s="28" t="s">
        <v>2</v>
      </c>
      <c r="F80" s="28"/>
      <c r="G80" s="69">
        <v>0</v>
      </c>
      <c r="H80" s="71"/>
      <c r="I80" s="71"/>
      <c r="J80" s="70"/>
    </row>
    <row r="81" spans="1:10" s="26" customFormat="1" ht="80.25" customHeight="1" x14ac:dyDescent="0.2">
      <c r="A81" s="30" t="s">
        <v>42</v>
      </c>
      <c r="B81" s="30"/>
      <c r="C81" s="30"/>
      <c r="D81" s="31" t="s">
        <v>11</v>
      </c>
      <c r="E81" s="28"/>
      <c r="F81" s="28"/>
      <c r="G81" s="69">
        <f>H81+I81</f>
        <v>62000</v>
      </c>
      <c r="H81" s="69">
        <f>H82</f>
        <v>62000</v>
      </c>
      <c r="I81" s="69">
        <f>I82</f>
        <v>0</v>
      </c>
      <c r="J81" s="69">
        <f>J82</f>
        <v>0</v>
      </c>
    </row>
    <row r="82" spans="1:10" s="26" customFormat="1" ht="80.25" customHeight="1" x14ac:dyDescent="0.2">
      <c r="A82" s="30" t="s">
        <v>43</v>
      </c>
      <c r="B82" s="30"/>
      <c r="C82" s="30"/>
      <c r="D82" s="31" t="s">
        <v>11</v>
      </c>
      <c r="E82" s="28"/>
      <c r="F82" s="28"/>
      <c r="G82" s="69">
        <f>+G83</f>
        <v>62000</v>
      </c>
      <c r="H82" s="69">
        <f>+H83</f>
        <v>62000</v>
      </c>
      <c r="I82" s="69">
        <f>+I83</f>
        <v>0</v>
      </c>
      <c r="J82" s="69">
        <f>+J83</f>
        <v>0</v>
      </c>
    </row>
    <row r="83" spans="1:10" s="26" customFormat="1" ht="38.450000000000003" customHeight="1" x14ac:dyDescent="0.2">
      <c r="A83" s="23" t="s">
        <v>49</v>
      </c>
      <c r="B83" s="23" t="s">
        <v>48</v>
      </c>
      <c r="C83" s="23" t="s">
        <v>9</v>
      </c>
      <c r="D83" s="24" t="s">
        <v>89</v>
      </c>
      <c r="E83" s="28"/>
      <c r="F83" s="28"/>
      <c r="G83" s="69">
        <f>H83+I83</f>
        <v>62000</v>
      </c>
      <c r="H83" s="72">
        <v>62000</v>
      </c>
      <c r="I83" s="71"/>
      <c r="J83" s="70"/>
    </row>
    <row r="84" spans="1:10" s="26" customFormat="1" ht="98.25" customHeight="1" x14ac:dyDescent="0.3">
      <c r="A84" s="23"/>
      <c r="B84" s="23"/>
      <c r="C84" s="23"/>
      <c r="D84" s="24"/>
      <c r="E84" s="25" t="s">
        <v>296</v>
      </c>
      <c r="F84" s="92" t="s">
        <v>391</v>
      </c>
      <c r="G84" s="69">
        <f>H84+I84</f>
        <v>189044630</v>
      </c>
      <c r="H84" s="70">
        <f>H86</f>
        <v>184886160</v>
      </c>
      <c r="I84" s="70">
        <f>I86</f>
        <v>4158470</v>
      </c>
      <c r="J84" s="70">
        <f>J86</f>
        <v>4158470</v>
      </c>
    </row>
    <row r="85" spans="1:10" s="26" customFormat="1" ht="30.6" customHeight="1" x14ac:dyDescent="0.2">
      <c r="A85" s="27"/>
      <c r="B85" s="27"/>
      <c r="C85" s="27"/>
      <c r="D85" s="27"/>
      <c r="E85" s="28" t="s">
        <v>2</v>
      </c>
      <c r="F85" s="28"/>
      <c r="G85" s="69">
        <v>0</v>
      </c>
      <c r="H85" s="71"/>
      <c r="I85" s="71"/>
      <c r="J85" s="70"/>
    </row>
    <row r="86" spans="1:10" s="26" customFormat="1" ht="80.25" customHeight="1" x14ac:dyDescent="0.2">
      <c r="A86" s="30" t="s">
        <v>42</v>
      </c>
      <c r="B86" s="30"/>
      <c r="C86" s="30"/>
      <c r="D86" s="31" t="s">
        <v>11</v>
      </c>
      <c r="E86" s="28"/>
      <c r="F86" s="28"/>
      <c r="G86" s="69">
        <f t="shared" ref="G86:G92" si="3">H86+I86</f>
        <v>189044630</v>
      </c>
      <c r="H86" s="69">
        <f>H87</f>
        <v>184886160</v>
      </c>
      <c r="I86" s="69">
        <f>I87</f>
        <v>4158470</v>
      </c>
      <c r="J86" s="69">
        <f>J87</f>
        <v>4158470</v>
      </c>
    </row>
    <row r="87" spans="1:10" s="26" customFormat="1" ht="80.25" customHeight="1" x14ac:dyDescent="0.2">
      <c r="A87" s="30" t="s">
        <v>43</v>
      </c>
      <c r="B87" s="30"/>
      <c r="C87" s="30"/>
      <c r="D87" s="31" t="s">
        <v>11</v>
      </c>
      <c r="E87" s="28"/>
      <c r="F87" s="28"/>
      <c r="G87" s="69">
        <f>G88+G89+G90+G92+G91+G93</f>
        <v>189044630</v>
      </c>
      <c r="H87" s="69">
        <f>H88+H89+H90+H92+H93+H91</f>
        <v>184886160</v>
      </c>
      <c r="I87" s="69">
        <f>I88+I89+I90+I92+I93+I91</f>
        <v>4158470</v>
      </c>
      <c r="J87" s="69">
        <f>J88+J89+J90+J92+J93+J91</f>
        <v>4158470</v>
      </c>
    </row>
    <row r="88" spans="1:10" s="26" customFormat="1" ht="70.900000000000006" customHeight="1" x14ac:dyDescent="0.2">
      <c r="A88" s="23" t="s">
        <v>51</v>
      </c>
      <c r="B88" s="23">
        <v>3090</v>
      </c>
      <c r="C88" s="23" t="s">
        <v>13</v>
      </c>
      <c r="D88" s="33" t="s">
        <v>216</v>
      </c>
      <c r="E88" s="28"/>
      <c r="F88" s="28"/>
      <c r="G88" s="69">
        <f t="shared" si="3"/>
        <v>2062039</v>
      </c>
      <c r="H88" s="72">
        <v>2062039</v>
      </c>
      <c r="I88" s="72"/>
      <c r="J88" s="72"/>
    </row>
    <row r="89" spans="1:10" s="26" customFormat="1" ht="70.900000000000006" customHeight="1" x14ac:dyDescent="0.2">
      <c r="A89" s="23" t="s">
        <v>52</v>
      </c>
      <c r="B89" s="23" t="s">
        <v>124</v>
      </c>
      <c r="C89" s="23" t="s">
        <v>14</v>
      </c>
      <c r="D89" s="33" t="s">
        <v>217</v>
      </c>
      <c r="E89" s="28"/>
      <c r="F89" s="28"/>
      <c r="G89" s="69">
        <f t="shared" si="3"/>
        <v>22761170</v>
      </c>
      <c r="H89" s="72">
        <v>18602700</v>
      </c>
      <c r="I89" s="72">
        <v>4158470</v>
      </c>
      <c r="J89" s="72">
        <v>4158470</v>
      </c>
    </row>
    <row r="90" spans="1:10" s="26" customFormat="1" ht="87.6" customHeight="1" x14ac:dyDescent="0.2">
      <c r="A90" s="23" t="s">
        <v>107</v>
      </c>
      <c r="B90" s="23" t="s">
        <v>106</v>
      </c>
      <c r="C90" s="23" t="s">
        <v>14</v>
      </c>
      <c r="D90" s="24" t="s">
        <v>108</v>
      </c>
      <c r="E90" s="28"/>
      <c r="F90" s="28"/>
      <c r="G90" s="69">
        <f t="shared" si="3"/>
        <v>1070300</v>
      </c>
      <c r="H90" s="72">
        <v>1070300</v>
      </c>
      <c r="I90" s="71"/>
      <c r="J90" s="70"/>
    </row>
    <row r="91" spans="1:10" s="26" customFormat="1" ht="38.450000000000003" customHeight="1" x14ac:dyDescent="0.2">
      <c r="A91" s="23" t="s">
        <v>272</v>
      </c>
      <c r="B91" s="23" t="s">
        <v>273</v>
      </c>
      <c r="C91" s="23" t="s">
        <v>13</v>
      </c>
      <c r="D91" s="24" t="s">
        <v>274</v>
      </c>
      <c r="E91" s="28"/>
      <c r="F91" s="28"/>
      <c r="G91" s="69">
        <f>H91+I91</f>
        <v>3847270</v>
      </c>
      <c r="H91" s="72">
        <f>3700000+147270</f>
        <v>3847270</v>
      </c>
      <c r="I91" s="71"/>
      <c r="J91" s="70"/>
    </row>
    <row r="92" spans="1:10" s="26" customFormat="1" ht="61.9" customHeight="1" x14ac:dyDescent="0.2">
      <c r="A92" s="23" t="s">
        <v>102</v>
      </c>
      <c r="B92" s="23" t="s">
        <v>103</v>
      </c>
      <c r="C92" s="23" t="s">
        <v>12</v>
      </c>
      <c r="D92" s="33" t="s">
        <v>96</v>
      </c>
      <c r="E92" s="28"/>
      <c r="F92" s="28"/>
      <c r="G92" s="69">
        <f t="shared" si="3"/>
        <v>153960391</v>
      </c>
      <c r="H92" s="32">
        <v>153960391</v>
      </c>
      <c r="I92" s="72"/>
      <c r="J92" s="72"/>
    </row>
    <row r="93" spans="1:10" s="26" customFormat="1" ht="38.450000000000003" customHeight="1" x14ac:dyDescent="0.2">
      <c r="A93" s="23" t="s">
        <v>142</v>
      </c>
      <c r="B93" s="23" t="s">
        <v>39</v>
      </c>
      <c r="C93" s="23" t="s">
        <v>8</v>
      </c>
      <c r="D93" s="24" t="s">
        <v>223</v>
      </c>
      <c r="E93" s="28"/>
      <c r="F93" s="28"/>
      <c r="G93" s="71">
        <f>G95+G96</f>
        <v>5343460</v>
      </c>
      <c r="H93" s="72">
        <f>H95+H96</f>
        <v>5343460</v>
      </c>
      <c r="I93" s="72">
        <f>I95+I96</f>
        <v>0</v>
      </c>
      <c r="J93" s="72">
        <f>J95+J96</f>
        <v>0</v>
      </c>
    </row>
    <row r="94" spans="1:10" s="26" customFormat="1" ht="28.9" customHeight="1" x14ac:dyDescent="0.2">
      <c r="A94" s="23"/>
      <c r="B94" s="23"/>
      <c r="C94" s="23"/>
      <c r="D94" s="33" t="s">
        <v>2</v>
      </c>
      <c r="E94" s="28"/>
      <c r="F94" s="28"/>
      <c r="G94" s="69"/>
      <c r="H94" s="73"/>
      <c r="I94" s="72"/>
      <c r="J94" s="70"/>
    </row>
    <row r="95" spans="1:10" s="36" customFormat="1" ht="87.6" customHeight="1" x14ac:dyDescent="0.2">
      <c r="A95" s="23"/>
      <c r="B95" s="23"/>
      <c r="C95" s="23"/>
      <c r="D95" s="35" t="s">
        <v>143</v>
      </c>
      <c r="E95" s="37"/>
      <c r="F95" s="37"/>
      <c r="G95" s="74">
        <f>H95+I95</f>
        <v>4968960</v>
      </c>
      <c r="H95" s="76">
        <v>4968960</v>
      </c>
      <c r="I95" s="76"/>
      <c r="J95" s="76"/>
    </row>
    <row r="96" spans="1:10" s="36" customFormat="1" ht="102.6" customHeight="1" x14ac:dyDescent="0.2">
      <c r="A96" s="23"/>
      <c r="B96" s="23"/>
      <c r="C96" s="23"/>
      <c r="D96" s="35" t="s">
        <v>395</v>
      </c>
      <c r="E96" s="37"/>
      <c r="F96" s="37"/>
      <c r="G96" s="74">
        <f>H96+I96</f>
        <v>374500</v>
      </c>
      <c r="H96" s="76">
        <v>374500</v>
      </c>
      <c r="I96" s="76"/>
      <c r="J96" s="76"/>
    </row>
    <row r="97" spans="1:10" s="26" customFormat="1" ht="103.9" customHeight="1" x14ac:dyDescent="0.2">
      <c r="A97" s="23"/>
      <c r="B97" s="23"/>
      <c r="C97" s="23"/>
      <c r="D97" s="24"/>
      <c r="E97" s="25" t="s">
        <v>430</v>
      </c>
      <c r="F97" s="25" t="s">
        <v>244</v>
      </c>
      <c r="G97" s="69">
        <f>H97+I97</f>
        <v>54112720</v>
      </c>
      <c r="H97" s="70">
        <f>H99+H104</f>
        <v>54112720</v>
      </c>
      <c r="I97" s="70">
        <f>I99+I104</f>
        <v>0</v>
      </c>
      <c r="J97" s="70">
        <f>J99+J104</f>
        <v>0</v>
      </c>
    </row>
    <row r="98" spans="1:10" s="26" customFormat="1" ht="25.9" customHeight="1" x14ac:dyDescent="0.2">
      <c r="A98" s="27"/>
      <c r="B98" s="27"/>
      <c r="C98" s="27"/>
      <c r="D98" s="27"/>
      <c r="E98" s="28" t="s">
        <v>2</v>
      </c>
      <c r="F98" s="28"/>
      <c r="G98" s="69">
        <v>0</v>
      </c>
      <c r="H98" s="71"/>
      <c r="I98" s="71"/>
      <c r="J98" s="70"/>
    </row>
    <row r="99" spans="1:10" s="26" customFormat="1" ht="80.25" customHeight="1" x14ac:dyDescent="0.2">
      <c r="A99" s="30" t="s">
        <v>125</v>
      </c>
      <c r="B99" s="30"/>
      <c r="C99" s="30"/>
      <c r="D99" s="31" t="s">
        <v>126</v>
      </c>
      <c r="E99" s="28"/>
      <c r="F99" s="28"/>
      <c r="G99" s="69">
        <f t="shared" ref="G99:G114" si="4">H99+I99</f>
        <v>4992670</v>
      </c>
      <c r="H99" s="69">
        <f>H100</f>
        <v>4992670</v>
      </c>
      <c r="I99" s="69">
        <f>I100</f>
        <v>0</v>
      </c>
      <c r="J99" s="69">
        <f>J100</f>
        <v>0</v>
      </c>
    </row>
    <row r="100" spans="1:10" s="26" customFormat="1" ht="80.25" customHeight="1" x14ac:dyDescent="0.2">
      <c r="A100" s="30" t="s">
        <v>127</v>
      </c>
      <c r="B100" s="30"/>
      <c r="C100" s="30"/>
      <c r="D100" s="31" t="s">
        <v>126</v>
      </c>
      <c r="E100" s="28"/>
      <c r="F100" s="28"/>
      <c r="G100" s="69">
        <f>+G102+G103+G101</f>
        <v>4992670</v>
      </c>
      <c r="H100" s="69">
        <f>+H102+H103+H101</f>
        <v>4992670</v>
      </c>
      <c r="I100" s="69">
        <f>+I102+I103+I101</f>
        <v>0</v>
      </c>
      <c r="J100" s="69">
        <f>+J102+J103+J101</f>
        <v>0</v>
      </c>
    </row>
    <row r="101" spans="1:10" s="26" customFormat="1" ht="38.25" customHeight="1" x14ac:dyDescent="0.2">
      <c r="A101" s="23" t="s">
        <v>156</v>
      </c>
      <c r="B101" s="23" t="s">
        <v>154</v>
      </c>
      <c r="C101" s="23" t="s">
        <v>7</v>
      </c>
      <c r="D101" s="24" t="s">
        <v>99</v>
      </c>
      <c r="E101" s="28"/>
      <c r="F101" s="28"/>
      <c r="G101" s="69">
        <f t="shared" si="4"/>
        <v>780470</v>
      </c>
      <c r="H101" s="72">
        <v>780470</v>
      </c>
      <c r="I101" s="71"/>
      <c r="J101" s="70"/>
    </row>
    <row r="102" spans="1:10" s="26" customFormat="1" ht="70.900000000000006" customHeight="1" x14ac:dyDescent="0.2">
      <c r="A102" s="23" t="s">
        <v>131</v>
      </c>
      <c r="B102" s="23" t="s">
        <v>130</v>
      </c>
      <c r="C102" s="23" t="s">
        <v>16</v>
      </c>
      <c r="D102" s="33" t="s">
        <v>17</v>
      </c>
      <c r="E102" s="28"/>
      <c r="F102" s="28"/>
      <c r="G102" s="69">
        <f t="shared" si="4"/>
        <v>28600</v>
      </c>
      <c r="H102" s="32">
        <v>28600</v>
      </c>
      <c r="I102" s="72"/>
      <c r="J102" s="72"/>
    </row>
    <row r="103" spans="1:10" s="26" customFormat="1" ht="115.9" customHeight="1" x14ac:dyDescent="0.2">
      <c r="A103" s="23" t="s">
        <v>328</v>
      </c>
      <c r="B103" s="23" t="s">
        <v>329</v>
      </c>
      <c r="C103" s="23" t="s">
        <v>16</v>
      </c>
      <c r="D103" s="33" t="s">
        <v>330</v>
      </c>
      <c r="E103" s="28" t="s">
        <v>214</v>
      </c>
      <c r="F103" s="28"/>
      <c r="G103" s="69">
        <f t="shared" si="4"/>
        <v>4183600</v>
      </c>
      <c r="H103" s="32">
        <f>4350600-80000-87000</f>
        <v>4183600</v>
      </c>
      <c r="I103" s="72"/>
      <c r="J103" s="72"/>
    </row>
    <row r="104" spans="1:10" s="26" customFormat="1" ht="88.9" customHeight="1" x14ac:dyDescent="0.2">
      <c r="A104" s="30" t="s">
        <v>44</v>
      </c>
      <c r="B104" s="30"/>
      <c r="C104" s="30"/>
      <c r="D104" s="31" t="s">
        <v>286</v>
      </c>
      <c r="E104" s="28"/>
      <c r="F104" s="28"/>
      <c r="G104" s="69">
        <f t="shared" si="4"/>
        <v>49120050</v>
      </c>
      <c r="H104" s="69">
        <f>H105</f>
        <v>49120050</v>
      </c>
      <c r="I104" s="69">
        <f>I105</f>
        <v>0</v>
      </c>
      <c r="J104" s="69">
        <f>J105</f>
        <v>0</v>
      </c>
    </row>
    <row r="105" spans="1:10" s="26" customFormat="1" ht="88.9" customHeight="1" x14ac:dyDescent="0.2">
      <c r="A105" s="30" t="s">
        <v>45</v>
      </c>
      <c r="B105" s="30"/>
      <c r="C105" s="30"/>
      <c r="D105" s="31" t="s">
        <v>286</v>
      </c>
      <c r="E105" s="28"/>
      <c r="F105" s="28"/>
      <c r="G105" s="69">
        <f t="shared" si="4"/>
        <v>49120050</v>
      </c>
      <c r="H105" s="69">
        <f>H106+H107+H108+H109+H110+H111+H112+H113</f>
        <v>49120050</v>
      </c>
      <c r="I105" s="69">
        <f>I106+I107+I108+I109+I110+I111+I112+I113</f>
        <v>0</v>
      </c>
      <c r="J105" s="69">
        <f>J106+J107+J108+J109+J110+J111+J112+J113</f>
        <v>0</v>
      </c>
    </row>
    <row r="106" spans="1:10" s="26" customFormat="1" ht="69" customHeight="1" x14ac:dyDescent="0.2">
      <c r="A106" s="23" t="s">
        <v>53</v>
      </c>
      <c r="B106" s="23" t="s">
        <v>129</v>
      </c>
      <c r="C106" s="23" t="s">
        <v>16</v>
      </c>
      <c r="D106" s="33" t="s">
        <v>31</v>
      </c>
      <c r="E106" s="28"/>
      <c r="F106" s="28"/>
      <c r="G106" s="69">
        <f t="shared" si="4"/>
        <v>14409522</v>
      </c>
      <c r="H106" s="32">
        <f>11493600+350000+2000000+565922</f>
        <v>14409522</v>
      </c>
      <c r="I106" s="72"/>
      <c r="J106" s="72"/>
    </row>
    <row r="107" spans="1:10" s="26" customFormat="1" ht="70.900000000000006" customHeight="1" x14ac:dyDescent="0.2">
      <c r="A107" s="23" t="s">
        <v>54</v>
      </c>
      <c r="B107" s="23" t="s">
        <v>130</v>
      </c>
      <c r="C107" s="23" t="s">
        <v>16</v>
      </c>
      <c r="D107" s="33" t="s">
        <v>17</v>
      </c>
      <c r="E107" s="28"/>
      <c r="F107" s="28"/>
      <c r="G107" s="69">
        <f t="shared" si="4"/>
        <v>2039748</v>
      </c>
      <c r="H107" s="32">
        <f>1639748+400000</f>
        <v>2039748</v>
      </c>
      <c r="I107" s="72"/>
      <c r="J107" s="72"/>
    </row>
    <row r="108" spans="1:10" s="26" customFormat="1" ht="70.900000000000006" customHeight="1" x14ac:dyDescent="0.2">
      <c r="A108" s="23" t="s">
        <v>55</v>
      </c>
      <c r="B108" s="23" t="s">
        <v>35</v>
      </c>
      <c r="C108" s="23" t="s">
        <v>16</v>
      </c>
      <c r="D108" s="33" t="s">
        <v>218</v>
      </c>
      <c r="E108" s="28"/>
      <c r="F108" s="28"/>
      <c r="G108" s="69">
        <f t="shared" si="4"/>
        <v>13841214</v>
      </c>
      <c r="H108" s="32">
        <f>5141214+8700000</f>
        <v>13841214</v>
      </c>
      <c r="I108" s="72"/>
      <c r="J108" s="72"/>
    </row>
    <row r="109" spans="1:10" s="26" customFormat="1" ht="87.6" customHeight="1" x14ac:dyDescent="0.2">
      <c r="A109" s="23" t="s">
        <v>73</v>
      </c>
      <c r="B109" s="23" t="s">
        <v>33</v>
      </c>
      <c r="C109" s="23" t="s">
        <v>16</v>
      </c>
      <c r="D109" s="24" t="s">
        <v>327</v>
      </c>
      <c r="E109" s="28"/>
      <c r="F109" s="28"/>
      <c r="G109" s="69">
        <f t="shared" si="4"/>
        <v>3705382</v>
      </c>
      <c r="H109" s="72">
        <f>3653997-5253-5552+62190</f>
        <v>3705382</v>
      </c>
      <c r="I109" s="71"/>
      <c r="J109" s="70"/>
    </row>
    <row r="110" spans="1:10" s="26" customFormat="1" ht="70.900000000000006" customHeight="1" x14ac:dyDescent="0.2">
      <c r="A110" s="23" t="s">
        <v>56</v>
      </c>
      <c r="B110" s="23" t="s">
        <v>34</v>
      </c>
      <c r="C110" s="23" t="s">
        <v>16</v>
      </c>
      <c r="D110" s="33" t="s">
        <v>219</v>
      </c>
      <c r="E110" s="28"/>
      <c r="F110" s="28"/>
      <c r="G110" s="69">
        <f t="shared" si="4"/>
        <v>5498870</v>
      </c>
      <c r="H110" s="32">
        <f>5105190+114660+155020+124000</f>
        <v>5498870</v>
      </c>
      <c r="I110" s="72"/>
      <c r="J110" s="72"/>
    </row>
    <row r="111" spans="1:10" s="26" customFormat="1" ht="87.6" customHeight="1" x14ac:dyDescent="0.2">
      <c r="A111" s="23" t="s">
        <v>280</v>
      </c>
      <c r="B111" s="23" t="s">
        <v>281</v>
      </c>
      <c r="C111" s="23" t="s">
        <v>16</v>
      </c>
      <c r="D111" s="24" t="s">
        <v>332</v>
      </c>
      <c r="E111" s="28"/>
      <c r="F111" s="28"/>
      <c r="G111" s="69">
        <f t="shared" si="4"/>
        <v>349900</v>
      </c>
      <c r="H111" s="72">
        <v>349900</v>
      </c>
      <c r="I111" s="71"/>
      <c r="J111" s="70"/>
    </row>
    <row r="112" spans="1:10" s="26" customFormat="1" ht="87.6" customHeight="1" x14ac:dyDescent="0.2">
      <c r="A112" s="23" t="s">
        <v>57</v>
      </c>
      <c r="B112" s="23" t="s">
        <v>36</v>
      </c>
      <c r="C112" s="23" t="s">
        <v>16</v>
      </c>
      <c r="D112" s="24" t="s">
        <v>331</v>
      </c>
      <c r="E112" s="28"/>
      <c r="F112" s="28"/>
      <c r="G112" s="69">
        <f t="shared" si="4"/>
        <v>1152749</v>
      </c>
      <c r="H112" s="72">
        <f>1182830-30081</f>
        <v>1152749</v>
      </c>
      <c r="I112" s="71"/>
      <c r="J112" s="70"/>
    </row>
    <row r="113" spans="1:11" s="26" customFormat="1" ht="70.900000000000006" customHeight="1" x14ac:dyDescent="0.2">
      <c r="A113" s="23" t="s">
        <v>58</v>
      </c>
      <c r="B113" s="23" t="s">
        <v>37</v>
      </c>
      <c r="C113" s="23" t="s">
        <v>16</v>
      </c>
      <c r="D113" s="33" t="s">
        <v>38</v>
      </c>
      <c r="E113" s="28"/>
      <c r="F113" s="28"/>
      <c r="G113" s="69">
        <f t="shared" si="4"/>
        <v>8122665</v>
      </c>
      <c r="H113" s="32">
        <f>8648887-350000+49900+49500-275622</f>
        <v>8122665</v>
      </c>
      <c r="I113" s="72"/>
      <c r="J113" s="72"/>
    </row>
    <row r="114" spans="1:11" s="36" customFormat="1" ht="93.6" customHeight="1" x14ac:dyDescent="0.2">
      <c r="A114" s="23"/>
      <c r="B114" s="23"/>
      <c r="C114" s="23"/>
      <c r="D114" s="24"/>
      <c r="E114" s="25" t="s">
        <v>453</v>
      </c>
      <c r="F114" s="25"/>
      <c r="G114" s="69">
        <f t="shared" si="4"/>
        <v>45718200</v>
      </c>
      <c r="H114" s="70">
        <f>H116</f>
        <v>45718200</v>
      </c>
      <c r="I114" s="70">
        <f>I116</f>
        <v>0</v>
      </c>
      <c r="J114" s="70">
        <f>J116</f>
        <v>0</v>
      </c>
      <c r="K114" s="26"/>
    </row>
    <row r="115" spans="1:11" s="26" customFormat="1" ht="30.6" customHeight="1" x14ac:dyDescent="0.2">
      <c r="A115" s="27"/>
      <c r="B115" s="27"/>
      <c r="C115" s="27"/>
      <c r="D115" s="27"/>
      <c r="E115" s="28" t="s">
        <v>2</v>
      </c>
      <c r="F115" s="28"/>
      <c r="G115" s="69">
        <v>0</v>
      </c>
      <c r="H115" s="71"/>
      <c r="I115" s="71"/>
      <c r="J115" s="70"/>
    </row>
    <row r="116" spans="1:11" s="41" customFormat="1" ht="123.6" customHeight="1" x14ac:dyDescent="0.2">
      <c r="A116" s="38" t="s">
        <v>85</v>
      </c>
      <c r="B116" s="38"/>
      <c r="C116" s="38"/>
      <c r="D116" s="39" t="s">
        <v>186</v>
      </c>
      <c r="E116" s="40"/>
      <c r="F116" s="40"/>
      <c r="G116" s="79">
        <f>H116+I116</f>
        <v>45718200</v>
      </c>
      <c r="H116" s="79">
        <f t="shared" ref="H116:J117" si="5">H117</f>
        <v>45718200</v>
      </c>
      <c r="I116" s="79">
        <f t="shared" si="5"/>
        <v>0</v>
      </c>
      <c r="J116" s="79">
        <f t="shared" si="5"/>
        <v>0</v>
      </c>
      <c r="K116" s="22"/>
    </row>
    <row r="117" spans="1:11" s="41" customFormat="1" ht="123.6" customHeight="1" x14ac:dyDescent="0.2">
      <c r="A117" s="38" t="s">
        <v>63</v>
      </c>
      <c r="B117" s="38"/>
      <c r="C117" s="38"/>
      <c r="D117" s="39" t="s">
        <v>186</v>
      </c>
      <c r="E117" s="40"/>
      <c r="F117" s="40"/>
      <c r="G117" s="79">
        <f>H117+I117</f>
        <v>45718200</v>
      </c>
      <c r="H117" s="79">
        <f t="shared" si="5"/>
        <v>45718200</v>
      </c>
      <c r="I117" s="79">
        <f t="shared" si="5"/>
        <v>0</v>
      </c>
      <c r="J117" s="79">
        <f t="shared" si="5"/>
        <v>0</v>
      </c>
      <c r="K117" s="22"/>
    </row>
    <row r="118" spans="1:11" s="26" customFormat="1" ht="38.450000000000003" customHeight="1" x14ac:dyDescent="0.2">
      <c r="A118" s="23" t="s">
        <v>64</v>
      </c>
      <c r="B118" s="23" t="s">
        <v>65</v>
      </c>
      <c r="C118" s="23" t="s">
        <v>19</v>
      </c>
      <c r="D118" s="24" t="s">
        <v>66</v>
      </c>
      <c r="E118" s="28"/>
      <c r="F118" s="28"/>
      <c r="G118" s="69">
        <f>H118+I118</f>
        <v>45718200</v>
      </c>
      <c r="H118" s="72">
        <f>41744200+3974000</f>
        <v>45718200</v>
      </c>
      <c r="I118" s="71"/>
      <c r="J118" s="70"/>
    </row>
    <row r="119" spans="1:11" s="36" customFormat="1" ht="114.6" customHeight="1" x14ac:dyDescent="0.2">
      <c r="A119" s="23"/>
      <c r="B119" s="23"/>
      <c r="C119" s="23"/>
      <c r="D119" s="24"/>
      <c r="E119" s="25" t="s">
        <v>317</v>
      </c>
      <c r="F119" s="25" t="s">
        <v>259</v>
      </c>
      <c r="G119" s="69">
        <f>H119+I119</f>
        <v>24461310</v>
      </c>
      <c r="H119" s="70">
        <f>H121</f>
        <v>24083310</v>
      </c>
      <c r="I119" s="70">
        <f>I121</f>
        <v>378000</v>
      </c>
      <c r="J119" s="70">
        <f>J121</f>
        <v>378000</v>
      </c>
    </row>
    <row r="120" spans="1:11" s="26" customFormat="1" ht="30.6" customHeight="1" x14ac:dyDescent="0.2">
      <c r="A120" s="27"/>
      <c r="B120" s="27"/>
      <c r="C120" s="27"/>
      <c r="D120" s="27"/>
      <c r="E120" s="28" t="s">
        <v>2</v>
      </c>
      <c r="F120" s="28"/>
      <c r="G120" s="69">
        <v>0</v>
      </c>
      <c r="H120" s="71"/>
      <c r="I120" s="71"/>
      <c r="J120" s="70"/>
    </row>
    <row r="121" spans="1:11" s="41" customFormat="1" ht="80.25" customHeight="1" x14ac:dyDescent="0.2">
      <c r="A121" s="38" t="s">
        <v>75</v>
      </c>
      <c r="B121" s="38"/>
      <c r="C121" s="38"/>
      <c r="D121" s="39" t="s">
        <v>233</v>
      </c>
      <c r="E121" s="40"/>
      <c r="F121" s="40"/>
      <c r="G121" s="79">
        <f>H121+I121</f>
        <v>24461310</v>
      </c>
      <c r="H121" s="79">
        <f t="shared" ref="H121:J122" si="6">H122</f>
        <v>24083310</v>
      </c>
      <c r="I121" s="79">
        <f t="shared" si="6"/>
        <v>378000</v>
      </c>
      <c r="J121" s="79">
        <f t="shared" si="6"/>
        <v>378000</v>
      </c>
      <c r="K121" s="22"/>
    </row>
    <row r="122" spans="1:11" s="41" customFormat="1" ht="80.25" customHeight="1" x14ac:dyDescent="0.2">
      <c r="A122" s="38" t="s">
        <v>76</v>
      </c>
      <c r="B122" s="38"/>
      <c r="C122" s="38"/>
      <c r="D122" s="39" t="s">
        <v>233</v>
      </c>
      <c r="E122" s="40"/>
      <c r="F122" s="40"/>
      <c r="G122" s="79">
        <f>H122+I122</f>
        <v>24461310</v>
      </c>
      <c r="H122" s="79">
        <f t="shared" si="6"/>
        <v>24083310</v>
      </c>
      <c r="I122" s="79">
        <f t="shared" si="6"/>
        <v>378000</v>
      </c>
      <c r="J122" s="79">
        <f t="shared" si="6"/>
        <v>378000</v>
      </c>
      <c r="K122" s="22"/>
    </row>
    <row r="123" spans="1:11" s="26" customFormat="1" ht="70.900000000000006" customHeight="1" x14ac:dyDescent="0.2">
      <c r="A123" s="23" t="s">
        <v>77</v>
      </c>
      <c r="B123" s="23" t="s">
        <v>67</v>
      </c>
      <c r="C123" s="23" t="s">
        <v>20</v>
      </c>
      <c r="D123" s="33" t="s">
        <v>92</v>
      </c>
      <c r="E123" s="28"/>
      <c r="F123" s="28"/>
      <c r="G123" s="69">
        <f>H123+I123</f>
        <v>24461310</v>
      </c>
      <c r="H123" s="32">
        <f>51369800+14800-31301290+1200000+2800000</f>
        <v>24083310</v>
      </c>
      <c r="I123" s="72">
        <v>378000</v>
      </c>
      <c r="J123" s="72">
        <v>378000</v>
      </c>
    </row>
    <row r="124" spans="1:11" s="26" customFormat="1" ht="92.45" customHeight="1" x14ac:dyDescent="0.2">
      <c r="A124" s="23"/>
      <c r="B124" s="23"/>
      <c r="C124" s="23"/>
      <c r="D124" s="24"/>
      <c r="E124" s="61" t="s">
        <v>446</v>
      </c>
      <c r="G124" s="69">
        <f>H124+I124</f>
        <v>2925553854.9800005</v>
      </c>
      <c r="H124" s="70">
        <f>H126+H138+H157</f>
        <v>396861180</v>
      </c>
      <c r="I124" s="70">
        <f>I126+I138+I157</f>
        <v>2528692674.9800005</v>
      </c>
      <c r="J124" s="70">
        <f>J126+J138+J157</f>
        <v>2373308003.79</v>
      </c>
    </row>
    <row r="125" spans="1:11" s="26" customFormat="1" ht="30.6" customHeight="1" x14ac:dyDescent="0.2">
      <c r="A125" s="27"/>
      <c r="B125" s="27"/>
      <c r="C125" s="27"/>
      <c r="D125" s="27"/>
      <c r="E125" s="28" t="s">
        <v>2</v>
      </c>
      <c r="F125" s="28"/>
      <c r="G125" s="69">
        <v>0</v>
      </c>
      <c r="H125" s="71"/>
      <c r="I125" s="71"/>
      <c r="J125" s="70"/>
    </row>
    <row r="126" spans="1:11" s="41" customFormat="1" ht="93" customHeight="1" x14ac:dyDescent="0.2">
      <c r="A126" s="38" t="s">
        <v>61</v>
      </c>
      <c r="B126" s="38"/>
      <c r="C126" s="38"/>
      <c r="D126" s="39" t="s">
        <v>18</v>
      </c>
      <c r="E126" s="40"/>
      <c r="F126" s="40"/>
      <c r="G126" s="79">
        <f t="shared" ref="G126:G133" si="7">H126+I126</f>
        <v>716467824.54999995</v>
      </c>
      <c r="H126" s="79">
        <f>H127</f>
        <v>394243060</v>
      </c>
      <c r="I126" s="79">
        <f>I127</f>
        <v>322224764.55000001</v>
      </c>
      <c r="J126" s="79">
        <f>J127</f>
        <v>317404353</v>
      </c>
      <c r="K126" s="22"/>
    </row>
    <row r="127" spans="1:11" s="41" customFormat="1" ht="93" customHeight="1" x14ac:dyDescent="0.2">
      <c r="A127" s="38" t="s">
        <v>62</v>
      </c>
      <c r="B127" s="38"/>
      <c r="C127" s="38"/>
      <c r="D127" s="39" t="s">
        <v>18</v>
      </c>
      <c r="E127" s="40"/>
      <c r="F127" s="40"/>
      <c r="G127" s="79">
        <f>SUM(G128:G134)</f>
        <v>716467824.54999995</v>
      </c>
      <c r="H127" s="79">
        <f>SUM(H128:H134)</f>
        <v>394243060</v>
      </c>
      <c r="I127" s="79">
        <f>SUM(I128:I134)</f>
        <v>322224764.55000001</v>
      </c>
      <c r="J127" s="79">
        <f>SUM(J128:J134)</f>
        <v>317404353</v>
      </c>
      <c r="K127" s="22"/>
    </row>
    <row r="128" spans="1:11" s="26" customFormat="1" ht="87.6" customHeight="1" x14ac:dyDescent="0.2">
      <c r="A128" s="23" t="s">
        <v>78</v>
      </c>
      <c r="B128" s="23" t="s">
        <v>79</v>
      </c>
      <c r="C128" s="23" t="s">
        <v>80</v>
      </c>
      <c r="D128" s="24" t="s">
        <v>91</v>
      </c>
      <c r="E128" s="28"/>
      <c r="F128" s="28"/>
      <c r="G128" s="69">
        <f t="shared" si="7"/>
        <v>761288</v>
      </c>
      <c r="H128" s="72">
        <v>761288</v>
      </c>
      <c r="I128" s="71"/>
      <c r="J128" s="70"/>
    </row>
    <row r="129" spans="1:11" s="51" customFormat="1" ht="70.900000000000006" customHeight="1" x14ac:dyDescent="0.2">
      <c r="A129" s="47" t="s">
        <v>121</v>
      </c>
      <c r="B129" s="47" t="s">
        <v>122</v>
      </c>
      <c r="C129" s="47" t="s">
        <v>21</v>
      </c>
      <c r="D129" s="48" t="s">
        <v>123</v>
      </c>
      <c r="E129" s="49"/>
      <c r="F129" s="50"/>
      <c r="G129" s="79">
        <f t="shared" si="7"/>
        <v>374238712</v>
      </c>
      <c r="H129" s="78">
        <v>369334359</v>
      </c>
      <c r="I129" s="78">
        <v>4904353</v>
      </c>
      <c r="J129" s="78">
        <v>4904353</v>
      </c>
    </row>
    <row r="130" spans="1:11" s="52" customFormat="1" ht="70.900000000000006" customHeight="1" x14ac:dyDescent="0.2">
      <c r="A130" s="47" t="s">
        <v>372</v>
      </c>
      <c r="B130" s="47" t="s">
        <v>373</v>
      </c>
      <c r="C130" s="47" t="s">
        <v>21</v>
      </c>
      <c r="D130" s="48" t="s">
        <v>374</v>
      </c>
      <c r="E130" s="49"/>
      <c r="F130" s="50"/>
      <c r="G130" s="79">
        <f>H130+I130</f>
        <v>2571801.5499999998</v>
      </c>
      <c r="H130" s="78"/>
      <c r="I130" s="78">
        <v>2571801.5499999998</v>
      </c>
      <c r="J130" s="78"/>
    </row>
    <row r="131" spans="1:11" s="26" customFormat="1" ht="87.6" customHeight="1" x14ac:dyDescent="0.2">
      <c r="A131" s="23" t="s">
        <v>365</v>
      </c>
      <c r="B131" s="23" t="s">
        <v>366</v>
      </c>
      <c r="C131" s="23" t="s">
        <v>21</v>
      </c>
      <c r="D131" s="24" t="s">
        <v>367</v>
      </c>
      <c r="E131" s="28"/>
      <c r="F131" s="28"/>
      <c r="G131" s="69">
        <f>H131+I131</f>
        <v>20347413</v>
      </c>
      <c r="H131" s="72">
        <f>4500000+7200000+8647413</f>
        <v>20347413</v>
      </c>
      <c r="I131" s="71"/>
      <c r="J131" s="70"/>
    </row>
    <row r="132" spans="1:11" s="26" customFormat="1" ht="87.6" customHeight="1" x14ac:dyDescent="0.2">
      <c r="A132" s="23" t="s">
        <v>81</v>
      </c>
      <c r="B132" s="23" t="s">
        <v>82</v>
      </c>
      <c r="C132" s="23" t="s">
        <v>23</v>
      </c>
      <c r="D132" s="24" t="s">
        <v>199</v>
      </c>
      <c r="E132" s="28"/>
      <c r="F132" s="28"/>
      <c r="G132" s="69">
        <f t="shared" si="7"/>
        <v>1352782</v>
      </c>
      <c r="H132" s="72"/>
      <c r="I132" s="72">
        <v>1352782</v>
      </c>
      <c r="J132" s="70"/>
    </row>
    <row r="133" spans="1:11" s="51" customFormat="1" ht="70.900000000000006" customHeight="1" x14ac:dyDescent="0.2">
      <c r="A133" s="47" t="s">
        <v>83</v>
      </c>
      <c r="B133" s="47" t="s">
        <v>84</v>
      </c>
      <c r="C133" s="47" t="s">
        <v>23</v>
      </c>
      <c r="D133" s="48" t="s">
        <v>132</v>
      </c>
      <c r="E133" s="49"/>
      <c r="F133" s="50"/>
      <c r="G133" s="79">
        <f t="shared" si="7"/>
        <v>895828</v>
      </c>
      <c r="H133" s="78"/>
      <c r="I133" s="78">
        <v>895828</v>
      </c>
      <c r="J133" s="78"/>
    </row>
    <row r="134" spans="1:11" s="26" customFormat="1" ht="38.450000000000003" customHeight="1" x14ac:dyDescent="0.2">
      <c r="A134" s="23">
        <v>1219770</v>
      </c>
      <c r="B134" s="23" t="s">
        <v>39</v>
      </c>
      <c r="C134" s="23" t="s">
        <v>8</v>
      </c>
      <c r="D134" s="24" t="s">
        <v>223</v>
      </c>
      <c r="E134" s="28"/>
      <c r="F134" s="28"/>
      <c r="G134" s="69">
        <f>G137+G136</f>
        <v>316300000</v>
      </c>
      <c r="H134" s="72">
        <f>H137+H136</f>
        <v>3800000</v>
      </c>
      <c r="I134" s="72">
        <f>I137+I136</f>
        <v>312500000</v>
      </c>
      <c r="J134" s="32">
        <f>J137+J136</f>
        <v>312500000</v>
      </c>
    </row>
    <row r="135" spans="1:11" s="26" customFormat="1" ht="28.9" customHeight="1" x14ac:dyDescent="0.2">
      <c r="A135" s="23"/>
      <c r="B135" s="23"/>
      <c r="C135" s="23"/>
      <c r="D135" s="33" t="s">
        <v>2</v>
      </c>
      <c r="E135" s="28"/>
      <c r="F135" s="28"/>
      <c r="G135" s="69"/>
      <c r="H135" s="73"/>
      <c r="I135" s="72"/>
      <c r="J135" s="70"/>
    </row>
    <row r="136" spans="1:11" s="52" customFormat="1" ht="139.9" customHeight="1" x14ac:dyDescent="0.2">
      <c r="A136" s="23"/>
      <c r="B136" s="23"/>
      <c r="C136" s="23"/>
      <c r="D136" s="35" t="s">
        <v>350</v>
      </c>
      <c r="E136" s="49"/>
      <c r="F136" s="50"/>
      <c r="G136" s="81">
        <f>H136+I136</f>
        <v>300000000</v>
      </c>
      <c r="H136" s="82"/>
      <c r="I136" s="75">
        <f>160000000+140000000</f>
        <v>300000000</v>
      </c>
      <c r="J136" s="75">
        <f>160000000+140000000</f>
        <v>300000000</v>
      </c>
    </row>
    <row r="137" spans="1:11" s="55" customFormat="1" ht="69.599999999999994" customHeight="1" x14ac:dyDescent="0.2">
      <c r="A137" s="53"/>
      <c r="B137" s="53"/>
      <c r="C137" s="53"/>
      <c r="D137" s="54" t="s">
        <v>349</v>
      </c>
      <c r="E137" s="49"/>
      <c r="F137" s="50"/>
      <c r="G137" s="81">
        <f>H137+I137</f>
        <v>16300000</v>
      </c>
      <c r="H137" s="82">
        <v>3800000</v>
      </c>
      <c r="I137" s="75">
        <v>12500000</v>
      </c>
      <c r="J137" s="75">
        <v>12500000</v>
      </c>
    </row>
    <row r="138" spans="1:11" s="41" customFormat="1" ht="80.25" customHeight="1" x14ac:dyDescent="0.2">
      <c r="A138" s="38" t="s">
        <v>118</v>
      </c>
      <c r="B138" s="38"/>
      <c r="C138" s="38"/>
      <c r="D138" s="39" t="s">
        <v>119</v>
      </c>
      <c r="E138" s="40"/>
      <c r="F138" s="40"/>
      <c r="G138" s="79">
        <f>H138+I138</f>
        <v>2208886030.4300003</v>
      </c>
      <c r="H138" s="79">
        <f>H139</f>
        <v>2418120</v>
      </c>
      <c r="I138" s="79">
        <f>I139</f>
        <v>2206467910.4300003</v>
      </c>
      <c r="J138" s="79">
        <f>J139</f>
        <v>2055903650.79</v>
      </c>
      <c r="K138" s="22"/>
    </row>
    <row r="139" spans="1:11" s="41" customFormat="1" ht="77.45" customHeight="1" x14ac:dyDescent="0.2">
      <c r="A139" s="38" t="s">
        <v>120</v>
      </c>
      <c r="B139" s="38"/>
      <c r="C139" s="38"/>
      <c r="D139" s="39" t="s">
        <v>119</v>
      </c>
      <c r="E139" s="40"/>
      <c r="F139" s="40"/>
      <c r="G139" s="79">
        <f>+G143+G147+G148+G153+G141+G140+G142+G144+G151+G154+G152</f>
        <v>2208886030.4300003</v>
      </c>
      <c r="H139" s="79">
        <f>+H143+H147+H148+H153+H141+H140+H142+H144+H151+H154+H152</f>
        <v>2418120</v>
      </c>
      <c r="I139" s="79">
        <f>+I143+I147+I148+I153+I141+I140+I142+I144+I151+I154+I152</f>
        <v>2206467910.4300003</v>
      </c>
      <c r="J139" s="79">
        <f>+J143+J147+J148+J153+J141+J140+J142+J144+J151+J154+J152</f>
        <v>2055903650.79</v>
      </c>
      <c r="K139" s="22"/>
    </row>
    <row r="140" spans="1:11" s="26" customFormat="1" ht="38.450000000000003" customHeight="1" x14ac:dyDescent="0.2">
      <c r="A140" s="23" t="s">
        <v>300</v>
      </c>
      <c r="B140" s="23" t="s">
        <v>301</v>
      </c>
      <c r="C140" s="23" t="s">
        <v>7</v>
      </c>
      <c r="D140" s="24" t="s">
        <v>302</v>
      </c>
      <c r="E140" s="28"/>
      <c r="F140" s="28"/>
      <c r="G140" s="69">
        <f>I140+H140</f>
        <v>255998354</v>
      </c>
      <c r="H140" s="72"/>
      <c r="I140" s="72">
        <f>258724415-2726061</f>
        <v>255998354</v>
      </c>
      <c r="J140" s="32">
        <f>258724415-2726061</f>
        <v>255998354</v>
      </c>
    </row>
    <row r="141" spans="1:11" s="26" customFormat="1" ht="38.25" customHeight="1" x14ac:dyDescent="0.2">
      <c r="A141" s="23" t="s">
        <v>303</v>
      </c>
      <c r="B141" s="23" t="s">
        <v>304</v>
      </c>
      <c r="C141" s="23" t="s">
        <v>6</v>
      </c>
      <c r="D141" s="24" t="s">
        <v>305</v>
      </c>
      <c r="E141" s="28"/>
      <c r="F141" s="28"/>
      <c r="G141" s="69">
        <f>I141+H141</f>
        <v>679337223</v>
      </c>
      <c r="H141" s="72"/>
      <c r="I141" s="72">
        <f>676611162+2726061</f>
        <v>679337223</v>
      </c>
      <c r="J141" s="32">
        <f>676611162+2726061</f>
        <v>679337223</v>
      </c>
    </row>
    <row r="142" spans="1:11" s="36" customFormat="1" ht="115.9" customHeight="1" x14ac:dyDescent="0.2">
      <c r="A142" s="23" t="s">
        <v>336</v>
      </c>
      <c r="B142" s="23" t="s">
        <v>335</v>
      </c>
      <c r="C142" s="23" t="s">
        <v>80</v>
      </c>
      <c r="D142" s="89" t="s">
        <v>337</v>
      </c>
      <c r="E142" s="25"/>
      <c r="F142" s="25"/>
      <c r="G142" s="79">
        <f>I142+H142</f>
        <v>9258110</v>
      </c>
      <c r="H142" s="69"/>
      <c r="I142" s="83">
        <v>9258110</v>
      </c>
      <c r="J142" s="83">
        <v>9258110</v>
      </c>
    </row>
    <row r="143" spans="1:11" s="26" customFormat="1" ht="38.450000000000003" customHeight="1" x14ac:dyDescent="0.2">
      <c r="A143" s="23" t="s">
        <v>227</v>
      </c>
      <c r="B143" s="23" t="s">
        <v>228</v>
      </c>
      <c r="C143" s="23" t="s">
        <v>224</v>
      </c>
      <c r="D143" s="24" t="s">
        <v>271</v>
      </c>
      <c r="E143" s="28"/>
      <c r="F143" s="28"/>
      <c r="G143" s="69">
        <f t="shared" ref="G143:G160" si="8">H143+I143</f>
        <v>54826625</v>
      </c>
      <c r="H143" s="72"/>
      <c r="I143" s="72">
        <v>54826625</v>
      </c>
      <c r="J143" s="32">
        <v>54826625</v>
      </c>
    </row>
    <row r="144" spans="1:11" s="51" customFormat="1" ht="70.900000000000006" customHeight="1" x14ac:dyDescent="0.2">
      <c r="A144" s="23" t="s">
        <v>338</v>
      </c>
      <c r="B144" s="23" t="s">
        <v>334</v>
      </c>
      <c r="C144" s="23" t="s">
        <v>4</v>
      </c>
      <c r="D144" s="24" t="s">
        <v>369</v>
      </c>
      <c r="E144" s="49"/>
      <c r="F144" s="50"/>
      <c r="G144" s="79">
        <f t="shared" si="8"/>
        <v>15407623</v>
      </c>
      <c r="H144" s="78">
        <v>0</v>
      </c>
      <c r="I144" s="80">
        <f>16063252-655629</f>
        <v>15407623</v>
      </c>
      <c r="J144" s="80">
        <v>3500000</v>
      </c>
    </row>
    <row r="145" spans="1:11" s="26" customFormat="1" ht="28.9" customHeight="1" x14ac:dyDescent="0.2">
      <c r="A145" s="23"/>
      <c r="B145" s="23"/>
      <c r="C145" s="23"/>
      <c r="D145" s="33" t="s">
        <v>2</v>
      </c>
      <c r="E145" s="28"/>
      <c r="F145" s="28"/>
      <c r="G145" s="69">
        <f>H145+I145</f>
        <v>0</v>
      </c>
      <c r="H145" s="73"/>
      <c r="I145" s="72"/>
      <c r="J145" s="70"/>
    </row>
    <row r="146" spans="1:11" s="36" customFormat="1" ht="38.450000000000003" customHeight="1" x14ac:dyDescent="0.2">
      <c r="A146" s="34"/>
      <c r="B146" s="34"/>
      <c r="C146" s="34"/>
      <c r="D146" s="91" t="s">
        <v>368</v>
      </c>
      <c r="E146" s="37"/>
      <c r="F146" s="37"/>
      <c r="G146" s="74">
        <f>H146+I146</f>
        <v>11907623</v>
      </c>
      <c r="H146" s="73"/>
      <c r="I146" s="73">
        <f>12563252-655629</f>
        <v>11907623</v>
      </c>
      <c r="J146" s="77"/>
    </row>
    <row r="147" spans="1:11" s="56" customFormat="1" ht="70.900000000000006" customHeight="1" x14ac:dyDescent="0.2">
      <c r="A147" s="23" t="s">
        <v>188</v>
      </c>
      <c r="B147" s="23" t="s">
        <v>94</v>
      </c>
      <c r="C147" s="23" t="s">
        <v>4</v>
      </c>
      <c r="D147" s="24" t="s">
        <v>70</v>
      </c>
      <c r="E147" s="49"/>
      <c r="F147" s="49"/>
      <c r="G147" s="69">
        <f t="shared" si="8"/>
        <v>501061479.79000002</v>
      </c>
      <c r="H147" s="83">
        <v>0</v>
      </c>
      <c r="I147" s="78">
        <f>501061479.79</f>
        <v>501061479.79000002</v>
      </c>
      <c r="J147" s="78">
        <f>501061479.79</f>
        <v>501061479.79000002</v>
      </c>
    </row>
    <row r="148" spans="1:11" s="56" customFormat="1" ht="56.45" customHeight="1" x14ac:dyDescent="0.2">
      <c r="A148" s="23" t="s">
        <v>225</v>
      </c>
      <c r="B148" s="23" t="s">
        <v>226</v>
      </c>
      <c r="C148" s="23" t="s">
        <v>4</v>
      </c>
      <c r="D148" s="24" t="s">
        <v>333</v>
      </c>
      <c r="E148" s="49"/>
      <c r="F148" s="49"/>
      <c r="G148" s="69">
        <f t="shared" si="8"/>
        <v>160092719</v>
      </c>
      <c r="H148" s="78">
        <v>0</v>
      </c>
      <c r="I148" s="78">
        <v>160092719</v>
      </c>
      <c r="J148" s="78">
        <v>30592719</v>
      </c>
    </row>
    <row r="149" spans="1:11" s="26" customFormat="1" ht="28.9" customHeight="1" x14ac:dyDescent="0.2">
      <c r="A149" s="23"/>
      <c r="B149" s="23"/>
      <c r="C149" s="23"/>
      <c r="D149" s="33" t="s">
        <v>2</v>
      </c>
      <c r="E149" s="28"/>
      <c r="F149" s="28"/>
      <c r="G149" s="69"/>
      <c r="H149" s="73"/>
      <c r="I149" s="72"/>
      <c r="J149" s="70"/>
    </row>
    <row r="150" spans="1:11" s="36" customFormat="1" ht="38.450000000000003" customHeight="1" x14ac:dyDescent="0.2">
      <c r="A150" s="34"/>
      <c r="B150" s="34"/>
      <c r="C150" s="34"/>
      <c r="D150" s="91" t="s">
        <v>368</v>
      </c>
      <c r="E150" s="37"/>
      <c r="F150" s="37"/>
      <c r="G150" s="74">
        <f>H150+I150</f>
        <v>129500000</v>
      </c>
      <c r="H150" s="73"/>
      <c r="I150" s="73">
        <f>160000000-30500000</f>
        <v>129500000</v>
      </c>
      <c r="J150" s="77"/>
    </row>
    <row r="151" spans="1:11" s="56" customFormat="1" ht="115.9" customHeight="1" x14ac:dyDescent="0.2">
      <c r="A151" s="23" t="s">
        <v>345</v>
      </c>
      <c r="B151" s="23" t="s">
        <v>346</v>
      </c>
      <c r="C151" s="23" t="s">
        <v>4</v>
      </c>
      <c r="D151" s="24" t="s">
        <v>347</v>
      </c>
      <c r="E151" s="49"/>
      <c r="F151" s="49"/>
      <c r="G151" s="69">
        <f t="shared" si="8"/>
        <v>9156636.6400000006</v>
      </c>
      <c r="H151" s="78">
        <v>0</v>
      </c>
      <c r="I151" s="78">
        <v>9156636.6400000006</v>
      </c>
      <c r="J151" s="78"/>
    </row>
    <row r="152" spans="1:11" s="56" customFormat="1" ht="38.450000000000003" customHeight="1" x14ac:dyDescent="0.2">
      <c r="A152" s="23" t="s">
        <v>359</v>
      </c>
      <c r="B152" s="23" t="s">
        <v>74</v>
      </c>
      <c r="C152" s="23" t="s">
        <v>4</v>
      </c>
      <c r="D152" s="24" t="s">
        <v>360</v>
      </c>
      <c r="E152" s="49"/>
      <c r="F152" s="49"/>
      <c r="G152" s="69">
        <f>H152+I152</f>
        <v>2418120</v>
      </c>
      <c r="H152" s="83">
        <v>2418120</v>
      </c>
      <c r="I152" s="78"/>
      <c r="J152" s="78"/>
    </row>
    <row r="153" spans="1:11" s="56" customFormat="1" ht="70.900000000000006" customHeight="1" x14ac:dyDescent="0.2">
      <c r="A153" s="23" t="s">
        <v>283</v>
      </c>
      <c r="B153" s="23" t="s">
        <v>284</v>
      </c>
      <c r="C153" s="23" t="s">
        <v>8</v>
      </c>
      <c r="D153" s="24" t="s">
        <v>285</v>
      </c>
      <c r="E153" s="49"/>
      <c r="F153" s="49"/>
      <c r="G153" s="69">
        <f>H153+I153</f>
        <v>283990645</v>
      </c>
      <c r="H153" s="83"/>
      <c r="I153" s="78">
        <v>283990645</v>
      </c>
      <c r="J153" s="78">
        <v>283990645</v>
      </c>
    </row>
    <row r="154" spans="1:11" s="56" customFormat="1" ht="38.450000000000003" customHeight="1" x14ac:dyDescent="0.2">
      <c r="A154" s="23" t="s">
        <v>357</v>
      </c>
      <c r="B154" s="23" t="s">
        <v>39</v>
      </c>
      <c r="C154" s="23" t="s">
        <v>8</v>
      </c>
      <c r="D154" s="24" t="s">
        <v>223</v>
      </c>
      <c r="E154" s="49"/>
      <c r="F154" s="49"/>
      <c r="G154" s="69">
        <f>G156</f>
        <v>237338495</v>
      </c>
      <c r="H154" s="83">
        <f>H156</f>
        <v>0</v>
      </c>
      <c r="I154" s="78">
        <f>I156</f>
        <v>237338495</v>
      </c>
      <c r="J154" s="78">
        <f>J156</f>
        <v>237338495</v>
      </c>
    </row>
    <row r="155" spans="1:11" s="26" customFormat="1" ht="28.9" customHeight="1" x14ac:dyDescent="0.2">
      <c r="A155" s="23"/>
      <c r="B155" s="23"/>
      <c r="C155" s="23"/>
      <c r="D155" s="33" t="s">
        <v>2</v>
      </c>
      <c r="E155" s="28"/>
      <c r="F155" s="28"/>
      <c r="G155" s="69"/>
      <c r="H155" s="73"/>
      <c r="I155" s="72"/>
      <c r="J155" s="70"/>
    </row>
    <row r="156" spans="1:11" s="52" customFormat="1" ht="64.150000000000006" customHeight="1" x14ac:dyDescent="0.2">
      <c r="A156" s="23"/>
      <c r="B156" s="23"/>
      <c r="C156" s="23"/>
      <c r="D156" s="35" t="s">
        <v>349</v>
      </c>
      <c r="E156" s="49"/>
      <c r="F156" s="50"/>
      <c r="G156" s="81">
        <f>H156+I156</f>
        <v>237338495</v>
      </c>
      <c r="H156" s="82"/>
      <c r="I156" s="75">
        <v>237338495</v>
      </c>
      <c r="J156" s="75">
        <v>237338495</v>
      </c>
    </row>
    <row r="157" spans="1:11" s="41" customFormat="1" ht="77.45" customHeight="1" x14ac:dyDescent="0.2">
      <c r="A157" s="38" t="s">
        <v>68</v>
      </c>
      <c r="B157" s="38"/>
      <c r="C157" s="38"/>
      <c r="D157" s="39" t="s">
        <v>22</v>
      </c>
      <c r="E157" s="40"/>
      <c r="F157" s="40"/>
      <c r="G157" s="79">
        <f t="shared" si="8"/>
        <v>200000</v>
      </c>
      <c r="H157" s="79">
        <f t="shared" ref="H157:J158" si="9">H158</f>
        <v>200000</v>
      </c>
      <c r="I157" s="79">
        <f t="shared" si="9"/>
        <v>0</v>
      </c>
      <c r="J157" s="79">
        <f t="shared" si="9"/>
        <v>0</v>
      </c>
      <c r="K157" s="22"/>
    </row>
    <row r="158" spans="1:11" s="41" customFormat="1" ht="77.45" customHeight="1" x14ac:dyDescent="0.2">
      <c r="A158" s="38" t="s">
        <v>69</v>
      </c>
      <c r="B158" s="38"/>
      <c r="C158" s="38"/>
      <c r="D158" s="39" t="s">
        <v>90</v>
      </c>
      <c r="E158" s="40"/>
      <c r="F158" s="40"/>
      <c r="G158" s="79">
        <f t="shared" si="8"/>
        <v>200000</v>
      </c>
      <c r="H158" s="79">
        <f t="shared" si="9"/>
        <v>200000</v>
      </c>
      <c r="I158" s="79">
        <f t="shared" si="9"/>
        <v>0</v>
      </c>
      <c r="J158" s="79">
        <f t="shared" si="9"/>
        <v>0</v>
      </c>
      <c r="K158" s="22"/>
    </row>
    <row r="159" spans="1:11" s="56" customFormat="1" ht="70.900000000000006" customHeight="1" x14ac:dyDescent="0.2">
      <c r="A159" s="23" t="s">
        <v>93</v>
      </c>
      <c r="B159" s="23" t="s">
        <v>94</v>
      </c>
      <c r="C159" s="23" t="s">
        <v>4</v>
      </c>
      <c r="D159" s="24" t="s">
        <v>70</v>
      </c>
      <c r="E159" s="49"/>
      <c r="F159" s="49"/>
      <c r="G159" s="69">
        <f t="shared" si="8"/>
        <v>200000</v>
      </c>
      <c r="H159" s="83">
        <v>200000</v>
      </c>
      <c r="I159" s="78"/>
      <c r="J159" s="78"/>
    </row>
    <row r="160" spans="1:11" s="26" customFormat="1" ht="97.15" customHeight="1" x14ac:dyDescent="0.2">
      <c r="A160" s="23"/>
      <c r="B160" s="23"/>
      <c r="C160" s="23"/>
      <c r="D160" s="24"/>
      <c r="E160" s="25" t="s">
        <v>445</v>
      </c>
      <c r="F160" s="25" t="s">
        <v>245</v>
      </c>
      <c r="G160" s="69">
        <f t="shared" si="8"/>
        <v>342651119.80000001</v>
      </c>
      <c r="H160" s="70">
        <f>H165</f>
        <v>0</v>
      </c>
      <c r="I160" s="70">
        <f>I165+I162</f>
        <v>342651119.80000001</v>
      </c>
      <c r="J160" s="70">
        <f>J165</f>
        <v>0</v>
      </c>
    </row>
    <row r="161" spans="1:11" s="26" customFormat="1" ht="30.6" customHeight="1" x14ac:dyDescent="0.2">
      <c r="A161" s="27"/>
      <c r="B161" s="27"/>
      <c r="C161" s="27"/>
      <c r="D161" s="27"/>
      <c r="E161" s="28" t="s">
        <v>2</v>
      </c>
      <c r="F161" s="28"/>
      <c r="G161" s="69"/>
      <c r="H161" s="71"/>
      <c r="I161" s="71"/>
      <c r="J161" s="70"/>
    </row>
    <row r="162" spans="1:11" s="41" customFormat="1" ht="91.9" customHeight="1" x14ac:dyDescent="0.2">
      <c r="A162" s="38" t="s">
        <v>61</v>
      </c>
      <c r="B162" s="38"/>
      <c r="C162" s="38"/>
      <c r="D162" s="39" t="s">
        <v>18</v>
      </c>
      <c r="E162" s="40"/>
      <c r="F162" s="40"/>
      <c r="G162" s="79">
        <f t="shared" ref="G162:J163" si="10">G163</f>
        <v>152148400</v>
      </c>
      <c r="H162" s="79">
        <f t="shared" si="10"/>
        <v>0</v>
      </c>
      <c r="I162" s="79">
        <f t="shared" si="10"/>
        <v>152148400</v>
      </c>
      <c r="J162" s="79">
        <f t="shared" si="10"/>
        <v>0</v>
      </c>
      <c r="K162" s="22"/>
    </row>
    <row r="163" spans="1:11" s="41" customFormat="1" ht="91.9" customHeight="1" x14ac:dyDescent="0.2">
      <c r="A163" s="38" t="s">
        <v>62</v>
      </c>
      <c r="B163" s="38"/>
      <c r="C163" s="38"/>
      <c r="D163" s="39" t="s">
        <v>18</v>
      </c>
      <c r="E163" s="40"/>
      <c r="F163" s="40"/>
      <c r="G163" s="79">
        <f t="shared" si="10"/>
        <v>152148400</v>
      </c>
      <c r="H163" s="79">
        <f t="shared" si="10"/>
        <v>0</v>
      </c>
      <c r="I163" s="79">
        <f t="shared" si="10"/>
        <v>152148400</v>
      </c>
      <c r="J163" s="79">
        <f t="shared" si="10"/>
        <v>0</v>
      </c>
      <c r="K163" s="22"/>
    </row>
    <row r="164" spans="1:11" s="26" customFormat="1" ht="38.450000000000003" customHeight="1" x14ac:dyDescent="0.2">
      <c r="A164" s="23" t="s">
        <v>348</v>
      </c>
      <c r="B164" s="23" t="s">
        <v>112</v>
      </c>
      <c r="C164" s="23" t="s">
        <v>113</v>
      </c>
      <c r="D164" s="44" t="s">
        <v>114</v>
      </c>
      <c r="E164" s="28"/>
      <c r="F164" s="28">
        <v>0</v>
      </c>
      <c r="G164" s="83">
        <f>H164+I164</f>
        <v>152148400</v>
      </c>
      <c r="H164" s="32"/>
      <c r="I164" s="83">
        <v>152148400</v>
      </c>
      <c r="J164" s="32"/>
    </row>
    <row r="165" spans="1:11" s="41" customFormat="1" ht="77.45" customHeight="1" x14ac:dyDescent="0.2">
      <c r="A165" s="38" t="s">
        <v>133</v>
      </c>
      <c r="B165" s="38"/>
      <c r="C165" s="38"/>
      <c r="D165" s="39" t="s">
        <v>116</v>
      </c>
      <c r="E165" s="40"/>
      <c r="F165" s="40"/>
      <c r="G165" s="79">
        <f>H165+I165</f>
        <v>190502719.80000001</v>
      </c>
      <c r="H165" s="79">
        <f>H166</f>
        <v>0</v>
      </c>
      <c r="I165" s="79">
        <f>I166</f>
        <v>190502719.80000001</v>
      </c>
      <c r="J165" s="79">
        <f>J166</f>
        <v>0</v>
      </c>
      <c r="K165" s="22"/>
    </row>
    <row r="166" spans="1:11" s="41" customFormat="1" ht="77.45" customHeight="1" x14ac:dyDescent="0.2">
      <c r="A166" s="38" t="s">
        <v>115</v>
      </c>
      <c r="B166" s="38"/>
      <c r="C166" s="38"/>
      <c r="D166" s="39" t="s">
        <v>116</v>
      </c>
      <c r="E166" s="40"/>
      <c r="F166" s="40">
        <v>0</v>
      </c>
      <c r="G166" s="79">
        <f>G167+G169+G168</f>
        <v>190502719.80000001</v>
      </c>
      <c r="H166" s="79">
        <f>H167+H169+H168</f>
        <v>0</v>
      </c>
      <c r="I166" s="79">
        <f>I167+I169+I168</f>
        <v>190502719.80000001</v>
      </c>
      <c r="J166" s="79">
        <f>J167+J169</f>
        <v>0</v>
      </c>
      <c r="K166" s="22"/>
    </row>
    <row r="167" spans="1:11" s="26" customFormat="1" ht="38.450000000000003" customHeight="1" x14ac:dyDescent="0.2">
      <c r="A167" s="23" t="s">
        <v>117</v>
      </c>
      <c r="B167" s="23" t="s">
        <v>112</v>
      </c>
      <c r="C167" s="23" t="s">
        <v>113</v>
      </c>
      <c r="D167" s="44" t="s">
        <v>114</v>
      </c>
      <c r="E167" s="28"/>
      <c r="F167" s="28">
        <v>0</v>
      </c>
      <c r="G167" s="69">
        <f>H167+I167</f>
        <v>121966919.80000001</v>
      </c>
      <c r="H167" s="32">
        <v>0</v>
      </c>
      <c r="I167" s="83">
        <f>145966919.8-24000000</f>
        <v>121966919.80000001</v>
      </c>
      <c r="J167" s="32">
        <v>0</v>
      </c>
    </row>
    <row r="168" spans="1:11" s="26" customFormat="1" ht="61.9" customHeight="1" x14ac:dyDescent="0.2">
      <c r="A168" s="23" t="s">
        <v>447</v>
      </c>
      <c r="B168" s="23" t="s">
        <v>448</v>
      </c>
      <c r="C168" s="23" t="s">
        <v>8</v>
      </c>
      <c r="D168" s="44" t="s">
        <v>449</v>
      </c>
      <c r="E168" s="28"/>
      <c r="F168" s="28"/>
      <c r="G168" s="69">
        <f>H168+I168</f>
        <v>24968600</v>
      </c>
      <c r="H168" s="32">
        <v>0</v>
      </c>
      <c r="I168" s="83">
        <v>24968600</v>
      </c>
      <c r="J168" s="32">
        <v>0</v>
      </c>
    </row>
    <row r="169" spans="1:11" s="56" customFormat="1" ht="70.900000000000006" customHeight="1" x14ac:dyDescent="0.2">
      <c r="A169" s="23" t="s">
        <v>358</v>
      </c>
      <c r="B169" s="23" t="s">
        <v>198</v>
      </c>
      <c r="C169" s="23" t="s">
        <v>8</v>
      </c>
      <c r="D169" s="24" t="s">
        <v>200</v>
      </c>
      <c r="E169" s="49"/>
      <c r="F169" s="49"/>
      <c r="G169" s="69">
        <f>H169+I169</f>
        <v>43567200</v>
      </c>
      <c r="H169" s="83"/>
      <c r="I169" s="78">
        <f>15567200+1000000+3000000+24000000</f>
        <v>43567200</v>
      </c>
      <c r="J169" s="78"/>
    </row>
    <row r="170" spans="1:11" s="26" customFormat="1" ht="88.9" customHeight="1" x14ac:dyDescent="0.2">
      <c r="A170" s="23"/>
      <c r="B170" s="23"/>
      <c r="C170" s="23"/>
      <c r="D170" s="24"/>
      <c r="E170" s="25" t="s">
        <v>295</v>
      </c>
      <c r="F170" s="25" t="s">
        <v>297</v>
      </c>
      <c r="G170" s="69">
        <f>H170+I170</f>
        <v>307383881</v>
      </c>
      <c r="H170" s="70">
        <f>H172</f>
        <v>86986130</v>
      </c>
      <c r="I170" s="70">
        <f>I172</f>
        <v>220397751</v>
      </c>
      <c r="J170" s="70">
        <f>J172</f>
        <v>198953751</v>
      </c>
    </row>
    <row r="171" spans="1:11" s="26" customFormat="1" ht="30.6" customHeight="1" x14ac:dyDescent="0.2">
      <c r="A171" s="27"/>
      <c r="B171" s="27"/>
      <c r="C171" s="27"/>
      <c r="D171" s="27"/>
      <c r="E171" s="28" t="s">
        <v>2</v>
      </c>
      <c r="F171" s="28"/>
      <c r="G171" s="69">
        <v>0</v>
      </c>
      <c r="H171" s="71"/>
      <c r="I171" s="71"/>
      <c r="J171" s="70"/>
    </row>
    <row r="172" spans="1:11" s="41" customFormat="1" ht="77.45" customHeight="1" x14ac:dyDescent="0.2">
      <c r="A172" s="38" t="s">
        <v>125</v>
      </c>
      <c r="B172" s="38"/>
      <c r="C172" s="38"/>
      <c r="D172" s="39" t="s">
        <v>126</v>
      </c>
      <c r="E172" s="40"/>
      <c r="F172" s="40"/>
      <c r="G172" s="79">
        <f t="shared" ref="G172:G186" si="11">H172+I172</f>
        <v>307383881</v>
      </c>
      <c r="H172" s="79">
        <f>H173</f>
        <v>86986130</v>
      </c>
      <c r="I172" s="79">
        <f>I173</f>
        <v>220397751</v>
      </c>
      <c r="J172" s="79">
        <f>J173</f>
        <v>198953751</v>
      </c>
      <c r="K172" s="22"/>
    </row>
    <row r="173" spans="1:11" s="41" customFormat="1" ht="77.45" customHeight="1" x14ac:dyDescent="0.2">
      <c r="A173" s="38" t="s">
        <v>127</v>
      </c>
      <c r="B173" s="38"/>
      <c r="C173" s="38"/>
      <c r="D173" s="39" t="s">
        <v>126</v>
      </c>
      <c r="E173" s="40"/>
      <c r="F173" s="40"/>
      <c r="G173" s="79">
        <f>G174+G175+G176+G185+G178+G182+G177+G181+G179+G180+G184+G183</f>
        <v>307383881</v>
      </c>
      <c r="H173" s="79">
        <f>H174+H175+H176+H185+H178+H182+H177+H181+H179+H180+H184+H183</f>
        <v>86986130</v>
      </c>
      <c r="I173" s="79">
        <f>I174+I175+I176+I185+I178+I182+I177+I181+I179+I180+I184+I183</f>
        <v>220397751</v>
      </c>
      <c r="J173" s="79">
        <f>J174+J175+J176+J185+J178+J182+J177+J181+J179+J180+J184+J183</f>
        <v>198953751</v>
      </c>
      <c r="K173" s="22"/>
    </row>
    <row r="174" spans="1:11" s="26" customFormat="1" ht="38.450000000000003" customHeight="1" x14ac:dyDescent="0.2">
      <c r="A174" s="23" t="s">
        <v>211</v>
      </c>
      <c r="B174" s="23" t="s">
        <v>212</v>
      </c>
      <c r="C174" s="23" t="s">
        <v>7</v>
      </c>
      <c r="D174" s="44" t="s">
        <v>213</v>
      </c>
      <c r="E174" s="28"/>
      <c r="F174" s="28"/>
      <c r="G174" s="69">
        <f t="shared" si="11"/>
        <v>12948950</v>
      </c>
      <c r="H174" s="32">
        <f>12810429+138521</f>
        <v>12948950</v>
      </c>
      <c r="I174" s="32"/>
      <c r="J174" s="32"/>
    </row>
    <row r="175" spans="1:11" s="26" customFormat="1" ht="38.450000000000003" customHeight="1" x14ac:dyDescent="0.2">
      <c r="A175" s="23" t="s">
        <v>157</v>
      </c>
      <c r="B175" s="23" t="s">
        <v>158</v>
      </c>
      <c r="C175" s="23" t="s">
        <v>7</v>
      </c>
      <c r="D175" s="44" t="s">
        <v>128</v>
      </c>
      <c r="E175" s="28"/>
      <c r="F175" s="28"/>
      <c r="G175" s="69">
        <f t="shared" si="11"/>
        <v>41478655</v>
      </c>
      <c r="H175" s="32">
        <v>41478655</v>
      </c>
      <c r="I175" s="32">
        <v>0</v>
      </c>
      <c r="J175" s="32">
        <v>0</v>
      </c>
    </row>
    <row r="176" spans="1:11" s="26" customFormat="1" ht="38.450000000000003" customHeight="1" x14ac:dyDescent="0.2">
      <c r="A176" s="23" t="s">
        <v>156</v>
      </c>
      <c r="B176" s="23" t="s">
        <v>154</v>
      </c>
      <c r="C176" s="23" t="s">
        <v>7</v>
      </c>
      <c r="D176" s="44" t="s">
        <v>99</v>
      </c>
      <c r="E176" s="28"/>
      <c r="F176" s="28"/>
      <c r="G176" s="69">
        <f t="shared" si="11"/>
        <v>5212211</v>
      </c>
      <c r="H176" s="32">
        <f>4952211+260000</f>
        <v>5212211</v>
      </c>
      <c r="I176" s="32">
        <f>4700000-4700000</f>
        <v>0</v>
      </c>
      <c r="J176" s="32">
        <f>4700000-4700000</f>
        <v>0</v>
      </c>
    </row>
    <row r="177" spans="1:11" s="26" customFormat="1" ht="147.75" customHeight="1" x14ac:dyDescent="0.2">
      <c r="A177" s="23" t="s">
        <v>351</v>
      </c>
      <c r="B177" s="23" t="s">
        <v>352</v>
      </c>
      <c r="C177" s="23" t="s">
        <v>7</v>
      </c>
      <c r="D177" s="44" t="s">
        <v>353</v>
      </c>
      <c r="E177" s="28"/>
      <c r="F177" s="28"/>
      <c r="G177" s="69">
        <f t="shared" si="11"/>
        <v>5734843</v>
      </c>
      <c r="H177" s="32">
        <v>4577</v>
      </c>
      <c r="I177" s="32">
        <f>5734843-4577</f>
        <v>5730266</v>
      </c>
      <c r="J177" s="32">
        <f>5734843-4577</f>
        <v>5730266</v>
      </c>
    </row>
    <row r="178" spans="1:11" s="26" customFormat="1" ht="115.9" customHeight="1" x14ac:dyDescent="0.2">
      <c r="A178" s="23" t="s">
        <v>339</v>
      </c>
      <c r="B178" s="23" t="s">
        <v>340</v>
      </c>
      <c r="C178" s="23" t="s">
        <v>7</v>
      </c>
      <c r="D178" s="44" t="s">
        <v>341</v>
      </c>
      <c r="E178" s="28"/>
      <c r="F178" s="28"/>
      <c r="G178" s="69">
        <f t="shared" si="11"/>
        <v>13381300</v>
      </c>
      <c r="H178" s="32">
        <f>100995+10680</f>
        <v>111675</v>
      </c>
      <c r="I178" s="32">
        <f>13381300-100995-10680</f>
        <v>13269625</v>
      </c>
      <c r="J178" s="32">
        <f>13381300-100995-10680</f>
        <v>13269625</v>
      </c>
    </row>
    <row r="179" spans="1:11" s="36" customFormat="1" ht="162.6" customHeight="1" x14ac:dyDescent="0.2">
      <c r="A179" s="23" t="s">
        <v>382</v>
      </c>
      <c r="B179" s="23" t="s">
        <v>383</v>
      </c>
      <c r="C179" s="23" t="s">
        <v>7</v>
      </c>
      <c r="D179" s="44" t="s">
        <v>384</v>
      </c>
      <c r="E179" s="25"/>
      <c r="F179" s="25"/>
      <c r="G179" s="69">
        <f>H179+I179</f>
        <v>33086500</v>
      </c>
      <c r="H179" s="83">
        <v>22653870</v>
      </c>
      <c r="I179" s="83">
        <v>10432630</v>
      </c>
      <c r="J179" s="83">
        <v>10432630</v>
      </c>
    </row>
    <row r="180" spans="1:11" s="36" customFormat="1" ht="162.6" customHeight="1" x14ac:dyDescent="0.2">
      <c r="A180" s="23" t="s">
        <v>385</v>
      </c>
      <c r="B180" s="23" t="s">
        <v>389</v>
      </c>
      <c r="C180" s="23" t="s">
        <v>7</v>
      </c>
      <c r="D180" s="44" t="s">
        <v>388</v>
      </c>
      <c r="E180" s="25"/>
      <c r="F180" s="25"/>
      <c r="G180" s="69">
        <f>H180+I180</f>
        <v>48910070</v>
      </c>
      <c r="H180" s="83">
        <f>879040+81800</f>
        <v>960840</v>
      </c>
      <c r="I180" s="83">
        <f>48031030-81800</f>
        <v>47949230</v>
      </c>
      <c r="J180" s="83">
        <f>48031030-81800</f>
        <v>47949230</v>
      </c>
    </row>
    <row r="181" spans="1:11" s="26" customFormat="1" ht="115.9" customHeight="1" x14ac:dyDescent="0.2">
      <c r="A181" s="23" t="s">
        <v>354</v>
      </c>
      <c r="B181" s="23" t="s">
        <v>355</v>
      </c>
      <c r="C181" s="23" t="s">
        <v>7</v>
      </c>
      <c r="D181" s="44" t="s">
        <v>356</v>
      </c>
      <c r="E181" s="28"/>
      <c r="F181" s="28"/>
      <c r="G181" s="69">
        <f t="shared" si="11"/>
        <v>14530000</v>
      </c>
      <c r="H181" s="32"/>
      <c r="I181" s="32">
        <f>1080000+12140000+1288000+22000</f>
        <v>14530000</v>
      </c>
      <c r="J181" s="32">
        <f>1080000+12140000+1288000+22000</f>
        <v>14530000</v>
      </c>
    </row>
    <row r="182" spans="1:11" s="36" customFormat="1" ht="105" customHeight="1" x14ac:dyDescent="0.2">
      <c r="A182" s="23" t="s">
        <v>342</v>
      </c>
      <c r="B182" s="23" t="s">
        <v>343</v>
      </c>
      <c r="C182" s="23" t="s">
        <v>7</v>
      </c>
      <c r="D182" s="44" t="s">
        <v>344</v>
      </c>
      <c r="E182" s="25"/>
      <c r="F182" s="25"/>
      <c r="G182" s="69">
        <f t="shared" si="11"/>
        <v>101732000</v>
      </c>
      <c r="H182" s="32">
        <v>0</v>
      </c>
      <c r="I182" s="83">
        <v>101732000</v>
      </c>
      <c r="J182" s="83">
        <v>101732000</v>
      </c>
    </row>
    <row r="183" spans="1:11" s="36" customFormat="1" ht="116.25" x14ac:dyDescent="0.2">
      <c r="A183" s="23" t="s">
        <v>405</v>
      </c>
      <c r="B183" s="23" t="s">
        <v>406</v>
      </c>
      <c r="C183" s="23" t="s">
        <v>7</v>
      </c>
      <c r="D183" s="44" t="s">
        <v>407</v>
      </c>
      <c r="E183" s="25"/>
      <c r="F183" s="25"/>
      <c r="G183" s="69">
        <f>H183+I183</f>
        <v>5310000</v>
      </c>
      <c r="H183" s="32">
        <v>0</v>
      </c>
      <c r="I183" s="83">
        <v>5310000</v>
      </c>
      <c r="J183" s="83">
        <v>5310000</v>
      </c>
    </row>
    <row r="184" spans="1:11" s="36" customFormat="1" ht="105" customHeight="1" x14ac:dyDescent="0.2">
      <c r="A184" s="23" t="s">
        <v>387</v>
      </c>
      <c r="B184" s="23" t="s">
        <v>386</v>
      </c>
      <c r="C184" s="23" t="s">
        <v>7</v>
      </c>
      <c r="D184" s="44" t="s">
        <v>390</v>
      </c>
      <c r="E184" s="25"/>
      <c r="F184" s="25"/>
      <c r="G184" s="69">
        <f>H184+I184</f>
        <v>21444000</v>
      </c>
      <c r="H184" s="32"/>
      <c r="I184" s="83">
        <f>16025000+5419000</f>
        <v>21444000</v>
      </c>
      <c r="J184" s="83"/>
    </row>
    <row r="185" spans="1:11" s="36" customFormat="1" ht="105" customHeight="1" x14ac:dyDescent="0.2">
      <c r="A185" s="23" t="s">
        <v>192</v>
      </c>
      <c r="B185" s="23" t="s">
        <v>190</v>
      </c>
      <c r="C185" s="23" t="s">
        <v>9</v>
      </c>
      <c r="D185" s="44" t="s">
        <v>191</v>
      </c>
      <c r="E185" s="25"/>
      <c r="F185" s="25"/>
      <c r="G185" s="69">
        <f t="shared" si="11"/>
        <v>3615352</v>
      </c>
      <c r="H185" s="32">
        <v>3615352</v>
      </c>
      <c r="I185" s="83"/>
      <c r="J185" s="83"/>
    </row>
    <row r="186" spans="1:11" s="26" customFormat="1" ht="147.6" customHeight="1" x14ac:dyDescent="0.2">
      <c r="A186" s="23"/>
      <c r="B186" s="23"/>
      <c r="C186" s="23"/>
      <c r="D186" s="24"/>
      <c r="E186" s="25" t="s">
        <v>298</v>
      </c>
      <c r="F186" s="25" t="s">
        <v>315</v>
      </c>
      <c r="G186" s="69">
        <f t="shared" si="11"/>
        <v>10000000</v>
      </c>
      <c r="H186" s="70">
        <f>H188</f>
        <v>9725000</v>
      </c>
      <c r="I186" s="70">
        <f>I188</f>
        <v>275000</v>
      </c>
      <c r="J186" s="70">
        <f>J188</f>
        <v>275000</v>
      </c>
    </row>
    <row r="187" spans="1:11" s="26" customFormat="1" ht="30.6" customHeight="1" x14ac:dyDescent="0.2">
      <c r="A187" s="27"/>
      <c r="B187" s="27"/>
      <c r="C187" s="27"/>
      <c r="D187" s="27"/>
      <c r="E187" s="28" t="s">
        <v>2</v>
      </c>
      <c r="F187" s="28"/>
      <c r="G187" s="69">
        <v>0</v>
      </c>
      <c r="H187" s="71"/>
      <c r="I187" s="71"/>
      <c r="J187" s="70"/>
    </row>
    <row r="188" spans="1:11" s="41" customFormat="1" ht="94.15" customHeight="1" x14ac:dyDescent="0.2">
      <c r="A188" s="38" t="s">
        <v>262</v>
      </c>
      <c r="B188" s="38"/>
      <c r="C188" s="38"/>
      <c r="D188" s="39" t="s">
        <v>266</v>
      </c>
      <c r="E188" s="40"/>
      <c r="F188" s="40"/>
      <c r="G188" s="79">
        <f t="shared" ref="G188:G195" si="12">H188+I188</f>
        <v>10000000</v>
      </c>
      <c r="H188" s="79">
        <f>H189</f>
        <v>9725000</v>
      </c>
      <c r="I188" s="79">
        <f>I189</f>
        <v>275000</v>
      </c>
      <c r="J188" s="79">
        <f>J189</f>
        <v>275000</v>
      </c>
      <c r="K188" s="22"/>
    </row>
    <row r="189" spans="1:11" s="41" customFormat="1" ht="94.15" customHeight="1" x14ac:dyDescent="0.2">
      <c r="A189" s="38" t="s">
        <v>261</v>
      </c>
      <c r="B189" s="38"/>
      <c r="C189" s="38"/>
      <c r="D189" s="39" t="s">
        <v>266</v>
      </c>
      <c r="E189" s="40"/>
      <c r="F189" s="40"/>
      <c r="G189" s="79">
        <f>H189+I189</f>
        <v>10000000</v>
      </c>
      <c r="H189" s="79">
        <f>H190+H192+H193+H194+H191</f>
        <v>9725000</v>
      </c>
      <c r="I189" s="79">
        <f>I190+I192+I193+I194+I191</f>
        <v>275000</v>
      </c>
      <c r="J189" s="79">
        <f>J190+J192+J193+J194+J191</f>
        <v>275000</v>
      </c>
      <c r="K189" s="22"/>
    </row>
    <row r="190" spans="1:11" s="26" customFormat="1" ht="38.450000000000003" customHeight="1" x14ac:dyDescent="0.2">
      <c r="A190" s="23" t="s">
        <v>263</v>
      </c>
      <c r="B190" s="23" t="s">
        <v>154</v>
      </c>
      <c r="C190" s="23" t="s">
        <v>155</v>
      </c>
      <c r="D190" s="44" t="s">
        <v>99</v>
      </c>
      <c r="E190" s="28"/>
      <c r="F190" s="28"/>
      <c r="G190" s="69">
        <f t="shared" si="12"/>
        <v>770000</v>
      </c>
      <c r="H190" s="32">
        <v>770000</v>
      </c>
      <c r="I190" s="32"/>
      <c r="J190" s="32"/>
    </row>
    <row r="191" spans="1:11" s="26" customFormat="1" ht="87.6" customHeight="1" x14ac:dyDescent="0.2">
      <c r="A191" s="23" t="s">
        <v>375</v>
      </c>
      <c r="B191" s="23" t="s">
        <v>376</v>
      </c>
      <c r="C191" s="23" t="s">
        <v>13</v>
      </c>
      <c r="D191" s="44" t="s">
        <v>377</v>
      </c>
      <c r="E191" s="28"/>
      <c r="F191" s="28"/>
      <c r="G191" s="69">
        <f>H191+I191</f>
        <v>1000000</v>
      </c>
      <c r="H191" s="32">
        <v>1000000</v>
      </c>
      <c r="I191" s="32"/>
      <c r="J191" s="32"/>
    </row>
    <row r="192" spans="1:11" s="26" customFormat="1" ht="87.6" customHeight="1" x14ac:dyDescent="0.2">
      <c r="A192" s="23" t="s">
        <v>299</v>
      </c>
      <c r="B192" s="23" t="s">
        <v>101</v>
      </c>
      <c r="C192" s="23" t="s">
        <v>12</v>
      </c>
      <c r="D192" s="44" t="s">
        <v>325</v>
      </c>
      <c r="E192" s="28"/>
      <c r="F192" s="28"/>
      <c r="G192" s="69">
        <f>H192+I192</f>
        <v>5500000</v>
      </c>
      <c r="H192" s="32">
        <v>5225000</v>
      </c>
      <c r="I192" s="32">
        <v>275000</v>
      </c>
      <c r="J192" s="32">
        <v>275000</v>
      </c>
    </row>
    <row r="193" spans="1:11" s="26" customFormat="1" ht="38.450000000000003" customHeight="1" x14ac:dyDescent="0.2">
      <c r="A193" s="23" t="s">
        <v>264</v>
      </c>
      <c r="B193" s="23" t="s">
        <v>105</v>
      </c>
      <c r="C193" s="23" t="s">
        <v>15</v>
      </c>
      <c r="D193" s="44" t="s">
        <v>104</v>
      </c>
      <c r="E193" s="28"/>
      <c r="F193" s="28"/>
      <c r="G193" s="69">
        <f t="shared" si="12"/>
        <v>1021400</v>
      </c>
      <c r="H193" s="32">
        <v>1021400</v>
      </c>
      <c r="I193" s="32"/>
      <c r="J193" s="32"/>
    </row>
    <row r="194" spans="1:11" s="26" customFormat="1" ht="87.6" customHeight="1" x14ac:dyDescent="0.2">
      <c r="A194" s="23" t="s">
        <v>265</v>
      </c>
      <c r="B194" s="23" t="s">
        <v>36</v>
      </c>
      <c r="C194" s="23" t="s">
        <v>16</v>
      </c>
      <c r="D194" s="44" t="s">
        <v>331</v>
      </c>
      <c r="E194" s="28"/>
      <c r="F194" s="28"/>
      <c r="G194" s="69">
        <f t="shared" si="12"/>
        <v>1708600</v>
      </c>
      <c r="H194" s="32">
        <f>708600+1000000</f>
        <v>1708600</v>
      </c>
      <c r="I194" s="32"/>
      <c r="J194" s="32"/>
    </row>
    <row r="195" spans="1:11" s="26" customFormat="1" ht="91.15" customHeight="1" x14ac:dyDescent="0.2">
      <c r="A195" s="23"/>
      <c r="B195" s="23"/>
      <c r="C195" s="23"/>
      <c r="D195" s="24"/>
      <c r="E195" s="25" t="s">
        <v>443</v>
      </c>
      <c r="F195" s="25" t="s">
        <v>246</v>
      </c>
      <c r="G195" s="69">
        <f t="shared" si="12"/>
        <v>2028800</v>
      </c>
      <c r="H195" s="70">
        <f>H197</f>
        <v>2028800</v>
      </c>
      <c r="I195" s="70">
        <f>I197</f>
        <v>0</v>
      </c>
      <c r="J195" s="70">
        <f>J197</f>
        <v>0</v>
      </c>
    </row>
    <row r="196" spans="1:11" s="26" customFormat="1" ht="30.6" customHeight="1" x14ac:dyDescent="0.2">
      <c r="A196" s="27"/>
      <c r="B196" s="27"/>
      <c r="C196" s="27"/>
      <c r="D196" s="27"/>
      <c r="E196" s="28" t="s">
        <v>2</v>
      </c>
      <c r="F196" s="28"/>
      <c r="G196" s="69"/>
      <c r="H196" s="71"/>
      <c r="I196" s="71"/>
      <c r="J196" s="70"/>
    </row>
    <row r="197" spans="1:11" s="41" customFormat="1" ht="72.599999999999994" customHeight="1" x14ac:dyDescent="0.2">
      <c r="A197" s="38" t="s">
        <v>26</v>
      </c>
      <c r="B197" s="38"/>
      <c r="C197" s="38"/>
      <c r="D197" s="39" t="s">
        <v>10</v>
      </c>
      <c r="E197" s="40"/>
      <c r="F197" s="40"/>
      <c r="G197" s="79">
        <f>H197+I197</f>
        <v>2028800</v>
      </c>
      <c r="H197" s="79">
        <f>H198</f>
        <v>2028800</v>
      </c>
      <c r="I197" s="79">
        <f>I198</f>
        <v>0</v>
      </c>
      <c r="J197" s="79">
        <f>J198</f>
        <v>0</v>
      </c>
      <c r="K197" s="22"/>
    </row>
    <row r="198" spans="1:11" s="41" customFormat="1" ht="72.599999999999994" customHeight="1" x14ac:dyDescent="0.2">
      <c r="A198" s="38" t="s">
        <v>27</v>
      </c>
      <c r="B198" s="38"/>
      <c r="C198" s="38"/>
      <c r="D198" s="39" t="s">
        <v>10</v>
      </c>
      <c r="E198" s="40"/>
      <c r="F198" s="40"/>
      <c r="G198" s="79">
        <f>H198+I198</f>
        <v>2028800</v>
      </c>
      <c r="H198" s="79">
        <f>H199+H200</f>
        <v>2028800</v>
      </c>
      <c r="I198" s="79">
        <f>I199+I200</f>
        <v>0</v>
      </c>
      <c r="J198" s="79">
        <f>J199+J200</f>
        <v>0</v>
      </c>
      <c r="K198" s="22"/>
    </row>
    <row r="199" spans="1:11" s="26" customFormat="1" ht="70.900000000000006" customHeight="1" x14ac:dyDescent="0.2">
      <c r="A199" s="23" t="s">
        <v>50</v>
      </c>
      <c r="B199" s="23">
        <v>3112</v>
      </c>
      <c r="C199" s="23" t="s">
        <v>9</v>
      </c>
      <c r="D199" s="44" t="s">
        <v>30</v>
      </c>
      <c r="E199" s="58"/>
      <c r="F199" s="32"/>
      <c r="G199" s="69">
        <f>H199+I199</f>
        <v>1148800</v>
      </c>
      <c r="H199" s="32">
        <f>1098800+50000</f>
        <v>1148800</v>
      </c>
      <c r="I199" s="32"/>
      <c r="J199" s="32"/>
    </row>
    <row r="200" spans="1:11" s="26" customFormat="1" ht="70.900000000000006" customHeight="1" x14ac:dyDescent="0.2">
      <c r="A200" s="23" t="s">
        <v>95</v>
      </c>
      <c r="B200" s="23" t="s">
        <v>103</v>
      </c>
      <c r="C200" s="23" t="s">
        <v>12</v>
      </c>
      <c r="D200" s="44" t="s">
        <v>96</v>
      </c>
      <c r="E200" s="58"/>
      <c r="F200" s="32"/>
      <c r="G200" s="69">
        <f>H200+I200</f>
        <v>880000</v>
      </c>
      <c r="H200" s="32">
        <f>1200000-320000</f>
        <v>880000</v>
      </c>
      <c r="I200" s="32"/>
      <c r="J200" s="32"/>
    </row>
    <row r="201" spans="1:11" s="26" customFormat="1" ht="71.25" customHeight="1" x14ac:dyDescent="0.2">
      <c r="A201" s="23"/>
      <c r="B201" s="23"/>
      <c r="C201" s="23"/>
      <c r="D201" s="24"/>
      <c r="E201" s="25" t="s">
        <v>269</v>
      </c>
      <c r="F201" s="25" t="s">
        <v>247</v>
      </c>
      <c r="G201" s="69">
        <f>H201+I201</f>
        <v>13110603</v>
      </c>
      <c r="H201" s="70">
        <f>H203</f>
        <v>13059603</v>
      </c>
      <c r="I201" s="70">
        <f>I203</f>
        <v>51000</v>
      </c>
      <c r="J201" s="70">
        <f>J203</f>
        <v>51000</v>
      </c>
    </row>
    <row r="202" spans="1:11" s="26" customFormat="1" ht="30.6" customHeight="1" x14ac:dyDescent="0.2">
      <c r="A202" s="27"/>
      <c r="B202" s="27"/>
      <c r="C202" s="27"/>
      <c r="D202" s="27"/>
      <c r="E202" s="28" t="s">
        <v>2</v>
      </c>
      <c r="F202" s="28"/>
      <c r="G202" s="69">
        <v>0</v>
      </c>
      <c r="H202" s="71"/>
      <c r="I202" s="71"/>
      <c r="J202" s="70"/>
    </row>
    <row r="203" spans="1:11" s="41" customFormat="1" ht="86.45" customHeight="1" x14ac:dyDescent="0.2">
      <c r="A203" s="38" t="s">
        <v>161</v>
      </c>
      <c r="B203" s="38"/>
      <c r="C203" s="38"/>
      <c r="D203" s="39" t="s">
        <v>163</v>
      </c>
      <c r="E203" s="40"/>
      <c r="F203" s="40"/>
      <c r="G203" s="79">
        <f t="shared" ref="G203:G210" si="13">H203+I203</f>
        <v>13110603</v>
      </c>
      <c r="H203" s="79">
        <f>H204</f>
        <v>13059603</v>
      </c>
      <c r="I203" s="79">
        <f>I204</f>
        <v>51000</v>
      </c>
      <c r="J203" s="79">
        <f>J204</f>
        <v>51000</v>
      </c>
      <c r="K203" s="22"/>
    </row>
    <row r="204" spans="1:11" s="41" customFormat="1" ht="86.45" customHeight="1" x14ac:dyDescent="0.2">
      <c r="A204" s="38" t="s">
        <v>162</v>
      </c>
      <c r="B204" s="38"/>
      <c r="C204" s="38"/>
      <c r="D204" s="39" t="s">
        <v>163</v>
      </c>
      <c r="E204" s="40"/>
      <c r="F204" s="40"/>
      <c r="G204" s="79">
        <f t="shared" si="13"/>
        <v>13110603</v>
      </c>
      <c r="H204" s="79">
        <f>SUM(H205:H209)</f>
        <v>13059603</v>
      </c>
      <c r="I204" s="79">
        <f>SUM(I205:I209)</f>
        <v>51000</v>
      </c>
      <c r="J204" s="79">
        <f>SUM(J205:J209)</f>
        <v>51000</v>
      </c>
      <c r="K204" s="22"/>
    </row>
    <row r="205" spans="1:11" s="26" customFormat="1" ht="38.450000000000003" customHeight="1" x14ac:dyDescent="0.2">
      <c r="A205" s="23" t="s">
        <v>257</v>
      </c>
      <c r="B205" s="23" t="s">
        <v>154</v>
      </c>
      <c r="C205" s="23" t="s">
        <v>7</v>
      </c>
      <c r="D205" s="44" t="s">
        <v>99</v>
      </c>
      <c r="E205" s="28"/>
      <c r="F205" s="28"/>
      <c r="G205" s="69">
        <f t="shared" si="13"/>
        <v>1105100</v>
      </c>
      <c r="H205" s="32">
        <v>1105100</v>
      </c>
      <c r="I205" s="32"/>
      <c r="J205" s="32"/>
    </row>
    <row r="206" spans="1:11" s="26" customFormat="1" ht="38.450000000000003" customHeight="1" x14ac:dyDescent="0.2">
      <c r="A206" s="23" t="s">
        <v>165</v>
      </c>
      <c r="B206" s="23" t="s">
        <v>166</v>
      </c>
      <c r="C206" s="23" t="s">
        <v>164</v>
      </c>
      <c r="D206" s="44" t="s">
        <v>167</v>
      </c>
      <c r="E206" s="28"/>
      <c r="F206" s="28"/>
      <c r="G206" s="69">
        <f t="shared" si="13"/>
        <v>3820477</v>
      </c>
      <c r="H206" s="32">
        <f>3497593+271884</f>
        <v>3769477</v>
      </c>
      <c r="I206" s="32">
        <v>51000</v>
      </c>
      <c r="J206" s="32">
        <v>51000</v>
      </c>
    </row>
    <row r="207" spans="1:11" s="26" customFormat="1" ht="70.900000000000006" customHeight="1" x14ac:dyDescent="0.2">
      <c r="A207" s="23" t="s">
        <v>168</v>
      </c>
      <c r="B207" s="23" t="s">
        <v>169</v>
      </c>
      <c r="C207" s="23" t="s">
        <v>170</v>
      </c>
      <c r="D207" s="24" t="s">
        <v>171</v>
      </c>
      <c r="E207" s="58"/>
      <c r="F207" s="32"/>
      <c r="G207" s="69">
        <f t="shared" si="13"/>
        <v>2540980</v>
      </c>
      <c r="H207" s="32">
        <v>2540980</v>
      </c>
      <c r="I207" s="32"/>
      <c r="J207" s="32"/>
    </row>
    <row r="208" spans="1:11" s="26" customFormat="1" ht="38.450000000000003" customHeight="1" x14ac:dyDescent="0.2">
      <c r="A208" s="23" t="s">
        <v>172</v>
      </c>
      <c r="B208" s="23" t="s">
        <v>105</v>
      </c>
      <c r="C208" s="23" t="s">
        <v>15</v>
      </c>
      <c r="D208" s="44" t="s">
        <v>104</v>
      </c>
      <c r="E208" s="28"/>
      <c r="F208" s="28"/>
      <c r="G208" s="69">
        <f t="shared" si="13"/>
        <v>4873546</v>
      </c>
      <c r="H208" s="32">
        <v>4873546</v>
      </c>
      <c r="I208" s="32"/>
      <c r="J208" s="32"/>
    </row>
    <row r="209" spans="1:11" s="26" customFormat="1" ht="38.450000000000003" customHeight="1" x14ac:dyDescent="0.2">
      <c r="A209" s="23">
        <v>1018410</v>
      </c>
      <c r="B209" s="23">
        <v>8410</v>
      </c>
      <c r="C209" s="23" t="s">
        <v>189</v>
      </c>
      <c r="D209" s="44" t="s">
        <v>310</v>
      </c>
      <c r="E209" s="28"/>
      <c r="F209" s="28"/>
      <c r="G209" s="69">
        <f t="shared" si="13"/>
        <v>770500</v>
      </c>
      <c r="H209" s="32">
        <v>770500</v>
      </c>
      <c r="I209" s="32"/>
      <c r="J209" s="32"/>
    </row>
    <row r="210" spans="1:11" s="26" customFormat="1" ht="117" customHeight="1" x14ac:dyDescent="0.2">
      <c r="A210" s="23"/>
      <c r="B210" s="23"/>
      <c r="C210" s="23"/>
      <c r="D210" s="24"/>
      <c r="E210" s="25" t="s">
        <v>441</v>
      </c>
      <c r="F210" s="25" t="s">
        <v>258</v>
      </c>
      <c r="G210" s="69">
        <f t="shared" si="13"/>
        <v>2887000</v>
      </c>
      <c r="H210" s="70">
        <f>H212+H215</f>
        <v>2887000</v>
      </c>
      <c r="I210" s="70">
        <f>I212+I215</f>
        <v>0</v>
      </c>
      <c r="J210" s="70">
        <f>J212+J215</f>
        <v>0</v>
      </c>
    </row>
    <row r="211" spans="1:11" s="26" customFormat="1" ht="30.6" customHeight="1" x14ac:dyDescent="0.2">
      <c r="A211" s="27"/>
      <c r="B211" s="27"/>
      <c r="C211" s="27"/>
      <c r="D211" s="27"/>
      <c r="E211" s="28" t="s">
        <v>2</v>
      </c>
      <c r="F211" s="28"/>
      <c r="G211" s="69">
        <v>0</v>
      </c>
      <c r="H211" s="71"/>
      <c r="I211" s="71"/>
      <c r="J211" s="70"/>
    </row>
    <row r="212" spans="1:11" s="26" customFormat="1" ht="80.25" customHeight="1" x14ac:dyDescent="0.2">
      <c r="A212" s="30" t="s">
        <v>173</v>
      </c>
      <c r="B212" s="30"/>
      <c r="C212" s="30"/>
      <c r="D212" s="31" t="s">
        <v>174</v>
      </c>
      <c r="E212" s="58"/>
      <c r="F212" s="58"/>
      <c r="G212" s="69">
        <f t="shared" ref="G212:G218" si="14">H212+I212</f>
        <v>1189000</v>
      </c>
      <c r="H212" s="70">
        <f t="shared" ref="H212:J213" si="15">H213</f>
        <v>1189000</v>
      </c>
      <c r="I212" s="70">
        <f t="shared" si="15"/>
        <v>0</v>
      </c>
      <c r="J212" s="70">
        <f t="shared" si="15"/>
        <v>0</v>
      </c>
    </row>
    <row r="213" spans="1:11" s="26" customFormat="1" ht="80.25" customHeight="1" x14ac:dyDescent="0.2">
      <c r="A213" s="30" t="s">
        <v>175</v>
      </c>
      <c r="B213" s="30"/>
      <c r="C213" s="30"/>
      <c r="D213" s="31" t="s">
        <v>174</v>
      </c>
      <c r="E213" s="58"/>
      <c r="F213" s="58"/>
      <c r="G213" s="69">
        <f t="shared" si="14"/>
        <v>1189000</v>
      </c>
      <c r="H213" s="70">
        <f t="shared" si="15"/>
        <v>1189000</v>
      </c>
      <c r="I213" s="70">
        <f t="shared" si="15"/>
        <v>0</v>
      </c>
      <c r="J213" s="70">
        <f t="shared" si="15"/>
        <v>0</v>
      </c>
    </row>
    <row r="214" spans="1:11" s="26" customFormat="1" ht="70.900000000000006" customHeight="1" x14ac:dyDescent="0.2">
      <c r="A214" s="23" t="s">
        <v>176</v>
      </c>
      <c r="B214" s="23" t="s">
        <v>177</v>
      </c>
      <c r="C214" s="23" t="s">
        <v>25</v>
      </c>
      <c r="D214" s="24" t="s">
        <v>178</v>
      </c>
      <c r="E214" s="58"/>
      <c r="F214" s="32"/>
      <c r="G214" s="69">
        <f t="shared" si="14"/>
        <v>1189000</v>
      </c>
      <c r="H214" s="32">
        <v>1189000</v>
      </c>
      <c r="I214" s="32"/>
      <c r="J214" s="32"/>
    </row>
    <row r="215" spans="1:11" s="26" customFormat="1" ht="80.25" customHeight="1" x14ac:dyDescent="0.2">
      <c r="A215" s="30" t="s">
        <v>179</v>
      </c>
      <c r="B215" s="30"/>
      <c r="C215" s="30"/>
      <c r="D215" s="31" t="s">
        <v>196</v>
      </c>
      <c r="E215" s="58"/>
      <c r="F215" s="58"/>
      <c r="G215" s="69">
        <f t="shared" si="14"/>
        <v>1698000</v>
      </c>
      <c r="H215" s="70">
        <f t="shared" ref="H215:J216" si="16">H216</f>
        <v>1698000</v>
      </c>
      <c r="I215" s="70">
        <f t="shared" si="16"/>
        <v>0</v>
      </c>
      <c r="J215" s="70">
        <f t="shared" si="16"/>
        <v>0</v>
      </c>
    </row>
    <row r="216" spans="1:11" s="26" customFormat="1" ht="80.25" customHeight="1" x14ac:dyDescent="0.2">
      <c r="A216" s="30" t="s">
        <v>180</v>
      </c>
      <c r="B216" s="30"/>
      <c r="C216" s="30"/>
      <c r="D216" s="31" t="s">
        <v>196</v>
      </c>
      <c r="E216" s="58"/>
      <c r="F216" s="58"/>
      <c r="G216" s="69">
        <f t="shared" si="14"/>
        <v>1698000</v>
      </c>
      <c r="H216" s="70">
        <f t="shared" si="16"/>
        <v>1698000</v>
      </c>
      <c r="I216" s="70">
        <f t="shared" si="16"/>
        <v>0</v>
      </c>
      <c r="J216" s="70">
        <f t="shared" si="16"/>
        <v>0</v>
      </c>
    </row>
    <row r="217" spans="1:11" s="36" customFormat="1" ht="38.450000000000003" customHeight="1" x14ac:dyDescent="0.2">
      <c r="A217" s="23" t="s">
        <v>181</v>
      </c>
      <c r="B217" s="23" t="s">
        <v>105</v>
      </c>
      <c r="C217" s="23" t="s">
        <v>15</v>
      </c>
      <c r="D217" s="44" t="s">
        <v>104</v>
      </c>
      <c r="E217" s="28"/>
      <c r="F217" s="28"/>
      <c r="G217" s="69">
        <f t="shared" si="14"/>
        <v>1698000</v>
      </c>
      <c r="H217" s="32">
        <v>1698000</v>
      </c>
      <c r="I217" s="32"/>
      <c r="J217" s="32"/>
      <c r="K217" s="26"/>
    </row>
    <row r="218" spans="1:11" s="26" customFormat="1" ht="85.15" customHeight="1" x14ac:dyDescent="0.2">
      <c r="A218" s="23"/>
      <c r="B218" s="23"/>
      <c r="C218" s="23"/>
      <c r="D218" s="24"/>
      <c r="E218" s="25" t="s">
        <v>293</v>
      </c>
      <c r="F218" s="25" t="s">
        <v>248</v>
      </c>
      <c r="G218" s="69">
        <f t="shared" si="14"/>
        <v>8600000</v>
      </c>
      <c r="H218" s="70">
        <f>H220</f>
        <v>8600000</v>
      </c>
      <c r="I218" s="70">
        <f>I220</f>
        <v>0</v>
      </c>
      <c r="J218" s="70">
        <f>J220</f>
        <v>0</v>
      </c>
    </row>
    <row r="219" spans="1:11" s="26" customFormat="1" ht="30.6" customHeight="1" x14ac:dyDescent="0.2">
      <c r="A219" s="27"/>
      <c r="B219" s="27"/>
      <c r="C219" s="27"/>
      <c r="D219" s="27"/>
      <c r="E219" s="28" t="s">
        <v>2</v>
      </c>
      <c r="F219" s="28"/>
      <c r="G219" s="69">
        <v>0</v>
      </c>
      <c r="H219" s="71"/>
      <c r="I219" s="71"/>
      <c r="J219" s="70"/>
    </row>
    <row r="220" spans="1:11" s="26" customFormat="1" ht="94.9" customHeight="1" x14ac:dyDescent="0.2">
      <c r="A220" s="30" t="s">
        <v>182</v>
      </c>
      <c r="B220" s="30"/>
      <c r="C220" s="30"/>
      <c r="D220" s="31" t="s">
        <v>187</v>
      </c>
      <c r="E220" s="58"/>
      <c r="F220" s="58"/>
      <c r="G220" s="69">
        <f>H220+I220</f>
        <v>8600000</v>
      </c>
      <c r="H220" s="70">
        <f t="shared" ref="H220:J221" si="17">H221</f>
        <v>8600000</v>
      </c>
      <c r="I220" s="70">
        <f t="shared" si="17"/>
        <v>0</v>
      </c>
      <c r="J220" s="70">
        <f t="shared" si="17"/>
        <v>0</v>
      </c>
    </row>
    <row r="221" spans="1:11" s="26" customFormat="1" ht="94.9" customHeight="1" x14ac:dyDescent="0.2">
      <c r="A221" s="30" t="s">
        <v>183</v>
      </c>
      <c r="B221" s="30"/>
      <c r="C221" s="30"/>
      <c r="D221" s="31" t="s">
        <v>187</v>
      </c>
      <c r="E221" s="58"/>
      <c r="F221" s="58"/>
      <c r="G221" s="69">
        <f>H221+I221</f>
        <v>8600000</v>
      </c>
      <c r="H221" s="70">
        <f t="shared" si="17"/>
        <v>8600000</v>
      </c>
      <c r="I221" s="70">
        <f t="shared" si="17"/>
        <v>0</v>
      </c>
      <c r="J221" s="70">
        <f t="shared" si="17"/>
        <v>0</v>
      </c>
    </row>
    <row r="222" spans="1:11" s="36" customFormat="1" ht="38.450000000000003" customHeight="1" x14ac:dyDescent="0.2">
      <c r="A222" s="23" t="s">
        <v>184</v>
      </c>
      <c r="B222" s="23" t="s">
        <v>154</v>
      </c>
      <c r="C222" s="23" t="s">
        <v>7</v>
      </c>
      <c r="D222" s="44" t="s">
        <v>99</v>
      </c>
      <c r="E222" s="28"/>
      <c r="F222" s="28"/>
      <c r="G222" s="69">
        <f>H222+I222</f>
        <v>8600000</v>
      </c>
      <c r="H222" s="32">
        <f>2000000+6600000</f>
        <v>8600000</v>
      </c>
      <c r="I222" s="32"/>
      <c r="J222" s="32"/>
      <c r="K222" s="26"/>
    </row>
    <row r="223" spans="1:11" s="26" customFormat="1" ht="101.45" customHeight="1" x14ac:dyDescent="0.2">
      <c r="A223" s="23"/>
      <c r="B223" s="23"/>
      <c r="C223" s="23"/>
      <c r="D223" s="24"/>
      <c r="E223" s="25" t="s">
        <v>438</v>
      </c>
      <c r="F223" s="25" t="s">
        <v>249</v>
      </c>
      <c r="G223" s="69">
        <f>H223+I223</f>
        <v>2000000</v>
      </c>
      <c r="H223" s="70">
        <f>H225</f>
        <v>2000000</v>
      </c>
      <c r="I223" s="70">
        <f>I225</f>
        <v>0</v>
      </c>
      <c r="J223" s="70">
        <f>J225</f>
        <v>0</v>
      </c>
    </row>
    <row r="224" spans="1:11" s="26" customFormat="1" ht="30.6" customHeight="1" x14ac:dyDescent="0.2">
      <c r="A224" s="27"/>
      <c r="B224" s="27"/>
      <c r="C224" s="27"/>
      <c r="D224" s="27"/>
      <c r="E224" s="28" t="s">
        <v>2</v>
      </c>
      <c r="F224" s="28"/>
      <c r="G224" s="69"/>
      <c r="H224" s="71"/>
      <c r="I224" s="71"/>
      <c r="J224" s="70"/>
    </row>
    <row r="225" spans="1:11" s="26" customFormat="1" ht="103.9" customHeight="1" x14ac:dyDescent="0.2">
      <c r="A225" s="30" t="s">
        <v>182</v>
      </c>
      <c r="B225" s="30"/>
      <c r="C225" s="30"/>
      <c r="D225" s="31" t="s">
        <v>187</v>
      </c>
      <c r="E225" s="58"/>
      <c r="F225" s="58"/>
      <c r="G225" s="69">
        <f>H225+I225</f>
        <v>2000000</v>
      </c>
      <c r="H225" s="70">
        <f t="shared" ref="H225:J226" si="18">H226</f>
        <v>2000000</v>
      </c>
      <c r="I225" s="70">
        <f t="shared" si="18"/>
        <v>0</v>
      </c>
      <c r="J225" s="70">
        <f t="shared" si="18"/>
        <v>0</v>
      </c>
    </row>
    <row r="226" spans="1:11" s="26" customFormat="1" ht="103.9" customHeight="1" x14ac:dyDescent="0.2">
      <c r="A226" s="30" t="s">
        <v>183</v>
      </c>
      <c r="B226" s="30"/>
      <c r="C226" s="30"/>
      <c r="D226" s="31" t="s">
        <v>187</v>
      </c>
      <c r="E226" s="58"/>
      <c r="F226" s="58"/>
      <c r="G226" s="69">
        <f>H226+I226</f>
        <v>2000000</v>
      </c>
      <c r="H226" s="70">
        <f t="shared" si="18"/>
        <v>2000000</v>
      </c>
      <c r="I226" s="70">
        <f t="shared" si="18"/>
        <v>0</v>
      </c>
      <c r="J226" s="70">
        <f t="shared" si="18"/>
        <v>0</v>
      </c>
    </row>
    <row r="227" spans="1:11" s="36" customFormat="1" ht="38.450000000000003" customHeight="1" x14ac:dyDescent="0.2">
      <c r="A227" s="23" t="s">
        <v>312</v>
      </c>
      <c r="B227" s="23" t="s">
        <v>311</v>
      </c>
      <c r="C227" s="23" t="s">
        <v>189</v>
      </c>
      <c r="D227" s="44" t="s">
        <v>313</v>
      </c>
      <c r="E227" s="28"/>
      <c r="F227" s="28"/>
      <c r="G227" s="69">
        <f>H227+I227</f>
        <v>2000000</v>
      </c>
      <c r="H227" s="32">
        <v>2000000</v>
      </c>
      <c r="I227" s="32"/>
      <c r="J227" s="32"/>
      <c r="K227" s="26"/>
    </row>
    <row r="228" spans="1:11" s="26" customFormat="1" ht="90.6" customHeight="1" x14ac:dyDescent="0.2">
      <c r="A228" s="23"/>
      <c r="B228" s="23"/>
      <c r="C228" s="23"/>
      <c r="D228" s="44"/>
      <c r="E228" s="25" t="s">
        <v>290</v>
      </c>
      <c r="F228" s="25" t="s">
        <v>314</v>
      </c>
      <c r="G228" s="69">
        <f>H228+I228</f>
        <v>1200000</v>
      </c>
      <c r="H228" s="69">
        <f>H230</f>
        <v>0</v>
      </c>
      <c r="I228" s="69">
        <f>I230</f>
        <v>1200000</v>
      </c>
      <c r="J228" s="69">
        <f>J230</f>
        <v>1200000</v>
      </c>
    </row>
    <row r="229" spans="1:11" s="26" customFormat="1" ht="30.6" customHeight="1" x14ac:dyDescent="0.2">
      <c r="A229" s="27"/>
      <c r="B229" s="27"/>
      <c r="C229" s="27"/>
      <c r="D229" s="27"/>
      <c r="E229" s="28" t="s">
        <v>2</v>
      </c>
      <c r="F229" s="28"/>
      <c r="G229" s="69">
        <v>0</v>
      </c>
      <c r="H229" s="71"/>
      <c r="I229" s="71"/>
      <c r="J229" s="70"/>
    </row>
    <row r="230" spans="1:11" s="26" customFormat="1" ht="103.9" customHeight="1" x14ac:dyDescent="0.2">
      <c r="A230" s="30" t="s">
        <v>85</v>
      </c>
      <c r="B230" s="30"/>
      <c r="C230" s="30"/>
      <c r="D230" s="31" t="s">
        <v>186</v>
      </c>
      <c r="E230" s="58"/>
      <c r="F230" s="58"/>
      <c r="G230" s="69">
        <f>H230+I230</f>
        <v>1200000</v>
      </c>
      <c r="H230" s="70">
        <f>H231</f>
        <v>0</v>
      </c>
      <c r="I230" s="70">
        <f>I231</f>
        <v>1200000</v>
      </c>
      <c r="J230" s="70">
        <f>J231</f>
        <v>1200000</v>
      </c>
    </row>
    <row r="231" spans="1:11" s="26" customFormat="1" ht="103.9" customHeight="1" x14ac:dyDescent="0.2">
      <c r="A231" s="30" t="s">
        <v>63</v>
      </c>
      <c r="B231" s="30"/>
      <c r="C231" s="30"/>
      <c r="D231" s="31" t="s">
        <v>186</v>
      </c>
      <c r="E231" s="58"/>
      <c r="F231" s="58"/>
      <c r="G231" s="70">
        <f>+G232</f>
        <v>1200000</v>
      </c>
      <c r="H231" s="70">
        <f>+H232</f>
        <v>0</v>
      </c>
      <c r="I231" s="70">
        <f>+I232</f>
        <v>1200000</v>
      </c>
      <c r="J231" s="70">
        <f>+J232</f>
        <v>1200000</v>
      </c>
    </row>
    <row r="232" spans="1:11" s="36" customFormat="1" ht="33" customHeight="1" x14ac:dyDescent="0.2">
      <c r="A232" s="23" t="s">
        <v>393</v>
      </c>
      <c r="B232" s="23" t="s">
        <v>39</v>
      </c>
      <c r="C232" s="23" t="s">
        <v>8</v>
      </c>
      <c r="D232" s="24" t="s">
        <v>223</v>
      </c>
      <c r="E232" s="25"/>
      <c r="F232" s="25"/>
      <c r="G232" s="69">
        <f>G234</f>
        <v>1200000</v>
      </c>
      <c r="H232" s="69">
        <f>H234</f>
        <v>0</v>
      </c>
      <c r="I232" s="83">
        <f>I234</f>
        <v>1200000</v>
      </c>
      <c r="J232" s="83">
        <f>J234</f>
        <v>1200000</v>
      </c>
    </row>
    <row r="233" spans="1:11" s="36" customFormat="1" ht="33" customHeight="1" x14ac:dyDescent="0.2">
      <c r="A233" s="23"/>
      <c r="B233" s="23"/>
      <c r="C233" s="23"/>
      <c r="D233" s="33" t="s">
        <v>2</v>
      </c>
      <c r="E233" s="25"/>
      <c r="F233" s="25"/>
      <c r="G233" s="69"/>
      <c r="H233" s="69"/>
      <c r="I233" s="69"/>
      <c r="J233" s="69"/>
    </row>
    <row r="234" spans="1:11" s="36" customFormat="1" ht="85.9" customHeight="1" x14ac:dyDescent="0.2">
      <c r="A234" s="23"/>
      <c r="B234" s="23"/>
      <c r="C234" s="23"/>
      <c r="D234" s="88" t="s">
        <v>394</v>
      </c>
      <c r="E234" s="25"/>
      <c r="F234" s="25"/>
      <c r="G234" s="74">
        <f>H234+I234</f>
        <v>1200000</v>
      </c>
      <c r="H234" s="90"/>
      <c r="I234" s="90">
        <v>1200000</v>
      </c>
      <c r="J234" s="90">
        <v>1200000</v>
      </c>
    </row>
    <row r="235" spans="1:11" s="26" customFormat="1" ht="145.9" customHeight="1" x14ac:dyDescent="0.2">
      <c r="A235" s="23"/>
      <c r="B235" s="23"/>
      <c r="C235" s="23"/>
      <c r="D235" s="24"/>
      <c r="E235" s="25" t="s">
        <v>318</v>
      </c>
      <c r="F235" s="25" t="s">
        <v>250</v>
      </c>
      <c r="G235" s="69">
        <f>H235+I235</f>
        <v>13177595</v>
      </c>
      <c r="H235" s="70">
        <f>H237</f>
        <v>13177595</v>
      </c>
      <c r="I235" s="70">
        <f>I237</f>
        <v>0</v>
      </c>
      <c r="J235" s="70">
        <f>J237</f>
        <v>0</v>
      </c>
    </row>
    <row r="236" spans="1:11" s="26" customFormat="1" ht="30.6" customHeight="1" x14ac:dyDescent="0.2">
      <c r="A236" s="27"/>
      <c r="B236" s="27"/>
      <c r="C236" s="27"/>
      <c r="D236" s="27"/>
      <c r="E236" s="28" t="s">
        <v>2</v>
      </c>
      <c r="F236" s="28"/>
      <c r="G236" s="69"/>
      <c r="H236" s="71"/>
      <c r="I236" s="71"/>
      <c r="J236" s="70"/>
    </row>
    <row r="237" spans="1:11" s="36" customFormat="1" ht="74.45" customHeight="1" x14ac:dyDescent="0.2">
      <c r="A237" s="30" t="s">
        <v>26</v>
      </c>
      <c r="B237" s="30"/>
      <c r="C237" s="30"/>
      <c r="D237" s="31" t="s">
        <v>10</v>
      </c>
      <c r="E237" s="37"/>
      <c r="F237" s="37"/>
      <c r="G237" s="69">
        <f>H237+I237</f>
        <v>13177595</v>
      </c>
      <c r="H237" s="69">
        <f t="shared" ref="H237:J238" si="19">H238</f>
        <v>13177595</v>
      </c>
      <c r="I237" s="69">
        <f t="shared" si="19"/>
        <v>0</v>
      </c>
      <c r="J237" s="69">
        <f t="shared" si="19"/>
        <v>0</v>
      </c>
      <c r="K237" s="26"/>
    </row>
    <row r="238" spans="1:11" s="36" customFormat="1" ht="74.45" customHeight="1" x14ac:dyDescent="0.2">
      <c r="A238" s="30" t="s">
        <v>27</v>
      </c>
      <c r="B238" s="30"/>
      <c r="C238" s="30"/>
      <c r="D238" s="31" t="s">
        <v>10</v>
      </c>
      <c r="E238" s="37"/>
      <c r="F238" s="37"/>
      <c r="G238" s="69">
        <f>H238+I238</f>
        <v>13177595</v>
      </c>
      <c r="H238" s="69">
        <f t="shared" si="19"/>
        <v>13177595</v>
      </c>
      <c r="I238" s="69">
        <f t="shared" si="19"/>
        <v>0</v>
      </c>
      <c r="J238" s="69">
        <f t="shared" si="19"/>
        <v>0</v>
      </c>
      <c r="K238" s="26"/>
    </row>
    <row r="239" spans="1:11" s="36" customFormat="1" ht="87.6" customHeight="1" x14ac:dyDescent="0.2">
      <c r="A239" s="23" t="s">
        <v>185</v>
      </c>
      <c r="B239" s="23" t="s">
        <v>101</v>
      </c>
      <c r="C239" s="23" t="s">
        <v>12</v>
      </c>
      <c r="D239" s="44" t="s">
        <v>325</v>
      </c>
      <c r="E239" s="28"/>
      <c r="F239" s="28"/>
      <c r="G239" s="69">
        <f>H239+I239</f>
        <v>13177595</v>
      </c>
      <c r="H239" s="32">
        <f>12342000+565595+270000</f>
        <v>13177595</v>
      </c>
      <c r="I239" s="32">
        <v>0</v>
      </c>
      <c r="J239" s="32">
        <v>0</v>
      </c>
      <c r="K239" s="26"/>
    </row>
    <row r="240" spans="1:11" s="26" customFormat="1" ht="116.45" customHeight="1" x14ac:dyDescent="0.2">
      <c r="A240" s="23"/>
      <c r="B240" s="23"/>
      <c r="C240" s="23"/>
      <c r="D240" s="24"/>
      <c r="E240" s="25" t="s">
        <v>371</v>
      </c>
      <c r="F240" s="25" t="s">
        <v>251</v>
      </c>
      <c r="G240" s="69">
        <f>H240+I240</f>
        <v>2612223</v>
      </c>
      <c r="H240" s="70">
        <f>H242</f>
        <v>2562223</v>
      </c>
      <c r="I240" s="70">
        <f>I242</f>
        <v>50000</v>
      </c>
      <c r="J240" s="70">
        <f>J242</f>
        <v>50000</v>
      </c>
    </row>
    <row r="241" spans="1:11" s="41" customFormat="1" ht="28.9" customHeight="1" x14ac:dyDescent="0.2">
      <c r="A241" s="27"/>
      <c r="B241" s="27"/>
      <c r="C241" s="27"/>
      <c r="D241" s="27"/>
      <c r="E241" s="28" t="s">
        <v>2</v>
      </c>
      <c r="F241" s="28"/>
      <c r="G241" s="69"/>
      <c r="H241" s="71"/>
      <c r="I241" s="71"/>
      <c r="J241" s="70"/>
      <c r="K241" s="22"/>
    </row>
    <row r="242" spans="1:11" s="41" customFormat="1" ht="80.25" customHeight="1" x14ac:dyDescent="0.2">
      <c r="A242" s="38" t="s">
        <v>42</v>
      </c>
      <c r="B242" s="38"/>
      <c r="C242" s="38"/>
      <c r="D242" s="39" t="s">
        <v>11</v>
      </c>
      <c r="E242" s="40"/>
      <c r="F242" s="40"/>
      <c r="G242" s="79">
        <f>H242+I242</f>
        <v>2612223</v>
      </c>
      <c r="H242" s="79">
        <f>H243</f>
        <v>2562223</v>
      </c>
      <c r="I242" s="79">
        <f>I243</f>
        <v>50000</v>
      </c>
      <c r="J242" s="79">
        <f>J243</f>
        <v>50000</v>
      </c>
      <c r="K242" s="22"/>
    </row>
    <row r="243" spans="1:11" s="41" customFormat="1" ht="80.25" customHeight="1" x14ac:dyDescent="0.2">
      <c r="A243" s="38" t="s">
        <v>43</v>
      </c>
      <c r="B243" s="38"/>
      <c r="C243" s="38"/>
      <c r="D243" s="39" t="s">
        <v>11</v>
      </c>
      <c r="E243" s="40"/>
      <c r="F243" s="40"/>
      <c r="G243" s="79">
        <f>H243+I243</f>
        <v>2612223</v>
      </c>
      <c r="H243" s="79">
        <f>H244+H245</f>
        <v>2562223</v>
      </c>
      <c r="I243" s="79">
        <f>I244+I245</f>
        <v>50000</v>
      </c>
      <c r="J243" s="79">
        <f>J244+J245</f>
        <v>50000</v>
      </c>
      <c r="K243" s="22"/>
    </row>
    <row r="244" spans="1:11" s="26" customFormat="1" ht="87.6" customHeight="1" x14ac:dyDescent="0.2">
      <c r="A244" s="23" t="s">
        <v>100</v>
      </c>
      <c r="B244" s="23" t="s">
        <v>101</v>
      </c>
      <c r="C244" s="23" t="s">
        <v>12</v>
      </c>
      <c r="D244" s="44" t="s">
        <v>325</v>
      </c>
      <c r="E244" s="58"/>
      <c r="F244" s="32"/>
      <c r="G244" s="69">
        <f>H244+I244</f>
        <v>2603020</v>
      </c>
      <c r="H244" s="32">
        <f>2586900-33880</f>
        <v>2553020</v>
      </c>
      <c r="I244" s="32">
        <v>50000</v>
      </c>
      <c r="J244" s="32">
        <v>50000</v>
      </c>
      <c r="K244" s="29"/>
    </row>
    <row r="245" spans="1:11" s="26" customFormat="1" ht="70.900000000000006" customHeight="1" x14ac:dyDescent="0.2">
      <c r="A245" s="23" t="s">
        <v>102</v>
      </c>
      <c r="B245" s="23" t="s">
        <v>103</v>
      </c>
      <c r="C245" s="23" t="s">
        <v>12</v>
      </c>
      <c r="D245" s="24" t="s">
        <v>96</v>
      </c>
      <c r="E245" s="58"/>
      <c r="F245" s="32"/>
      <c r="G245" s="69">
        <f>H245+I245</f>
        <v>9203</v>
      </c>
      <c r="H245" s="32">
        <v>9203</v>
      </c>
      <c r="I245" s="32">
        <v>0</v>
      </c>
      <c r="J245" s="32">
        <v>0</v>
      </c>
    </row>
    <row r="246" spans="1:11" s="26" customFormat="1" ht="98.45" customHeight="1" x14ac:dyDescent="0.2">
      <c r="A246" s="23"/>
      <c r="B246" s="23"/>
      <c r="C246" s="23"/>
      <c r="D246" s="24"/>
      <c r="E246" s="25" t="s">
        <v>270</v>
      </c>
      <c r="F246" s="25" t="s">
        <v>444</v>
      </c>
      <c r="G246" s="69">
        <f>H246+I246</f>
        <v>115000</v>
      </c>
      <c r="H246" s="70">
        <f>H248</f>
        <v>115000</v>
      </c>
      <c r="I246" s="70">
        <f>I248</f>
        <v>0</v>
      </c>
      <c r="J246" s="70">
        <f>J248</f>
        <v>0</v>
      </c>
    </row>
    <row r="247" spans="1:11" s="26" customFormat="1" ht="30.6" customHeight="1" x14ac:dyDescent="0.2">
      <c r="A247" s="27"/>
      <c r="B247" s="27"/>
      <c r="C247" s="27"/>
      <c r="D247" s="27"/>
      <c r="E247" s="28" t="s">
        <v>2</v>
      </c>
      <c r="F247" s="28"/>
      <c r="G247" s="69"/>
      <c r="H247" s="71"/>
      <c r="I247" s="71"/>
      <c r="J247" s="70"/>
    </row>
    <row r="248" spans="1:11" s="41" customFormat="1" ht="91.9" customHeight="1" x14ac:dyDescent="0.2">
      <c r="A248" s="38" t="s">
        <v>161</v>
      </c>
      <c r="B248" s="38"/>
      <c r="C248" s="38"/>
      <c r="D248" s="39" t="s">
        <v>163</v>
      </c>
      <c r="E248" s="40"/>
      <c r="F248" s="40"/>
      <c r="G248" s="79">
        <f>H248+I248</f>
        <v>115000</v>
      </c>
      <c r="H248" s="79">
        <f t="shared" ref="H248:J249" si="20">H249</f>
        <v>115000</v>
      </c>
      <c r="I248" s="79">
        <f t="shared" si="20"/>
        <v>0</v>
      </c>
      <c r="J248" s="79">
        <f t="shared" si="20"/>
        <v>0</v>
      </c>
      <c r="K248" s="22"/>
    </row>
    <row r="249" spans="1:11" s="41" customFormat="1" ht="91.9" customHeight="1" x14ac:dyDescent="0.2">
      <c r="A249" s="38" t="s">
        <v>162</v>
      </c>
      <c r="B249" s="38"/>
      <c r="C249" s="38"/>
      <c r="D249" s="39" t="s">
        <v>163</v>
      </c>
      <c r="E249" s="40"/>
      <c r="F249" s="40"/>
      <c r="G249" s="79">
        <f>H249+I249</f>
        <v>115000</v>
      </c>
      <c r="H249" s="79">
        <f t="shared" si="20"/>
        <v>115000</v>
      </c>
      <c r="I249" s="79">
        <f t="shared" si="20"/>
        <v>0</v>
      </c>
      <c r="J249" s="79">
        <f t="shared" si="20"/>
        <v>0</v>
      </c>
      <c r="K249" s="22"/>
    </row>
    <row r="250" spans="1:11" s="36" customFormat="1" ht="38.450000000000003" customHeight="1" x14ac:dyDescent="0.2">
      <c r="A250" s="23" t="s">
        <v>172</v>
      </c>
      <c r="B250" s="23" t="s">
        <v>105</v>
      </c>
      <c r="C250" s="23" t="s">
        <v>15</v>
      </c>
      <c r="D250" s="44" t="s">
        <v>104</v>
      </c>
      <c r="E250" s="28"/>
      <c r="F250" s="28"/>
      <c r="G250" s="69">
        <f>H250+I250</f>
        <v>115000</v>
      </c>
      <c r="H250" s="32">
        <v>115000</v>
      </c>
      <c r="I250" s="32"/>
      <c r="J250" s="32"/>
      <c r="K250" s="26"/>
    </row>
    <row r="251" spans="1:11" s="26" customFormat="1" ht="103.9" customHeight="1" x14ac:dyDescent="0.2">
      <c r="A251" s="23"/>
      <c r="B251" s="23"/>
      <c r="C251" s="23"/>
      <c r="D251" s="24"/>
      <c r="E251" s="25" t="s">
        <v>201</v>
      </c>
      <c r="F251" s="25" t="s">
        <v>252</v>
      </c>
      <c r="G251" s="69">
        <f>H251+I251</f>
        <v>1078621144</v>
      </c>
      <c r="H251" s="70">
        <f>H253</f>
        <v>409715808</v>
      </c>
      <c r="I251" s="70">
        <f>I253</f>
        <v>668905336</v>
      </c>
      <c r="J251" s="70">
        <f>J253</f>
        <v>668905336</v>
      </c>
    </row>
    <row r="252" spans="1:11" s="26" customFormat="1" ht="30.6" customHeight="1" x14ac:dyDescent="0.2">
      <c r="A252" s="27"/>
      <c r="B252" s="27"/>
      <c r="C252" s="27"/>
      <c r="D252" s="27"/>
      <c r="E252" s="28" t="s">
        <v>2</v>
      </c>
      <c r="F252" s="28"/>
      <c r="G252" s="69"/>
      <c r="H252" s="71"/>
      <c r="I252" s="71"/>
      <c r="J252" s="70"/>
    </row>
    <row r="253" spans="1:11" s="41" customFormat="1" ht="103.9" customHeight="1" x14ac:dyDescent="0.2">
      <c r="A253" s="38" t="s">
        <v>202</v>
      </c>
      <c r="B253" s="38"/>
      <c r="C253" s="38"/>
      <c r="D253" s="39" t="s">
        <v>205</v>
      </c>
      <c r="E253" s="40"/>
      <c r="F253" s="40"/>
      <c r="G253" s="79">
        <f>H253+I253</f>
        <v>1078621144</v>
      </c>
      <c r="H253" s="79">
        <f>H254</f>
        <v>409715808</v>
      </c>
      <c r="I253" s="79">
        <f>I254</f>
        <v>668905336</v>
      </c>
      <c r="J253" s="79">
        <f>J254</f>
        <v>668905336</v>
      </c>
      <c r="K253" s="22"/>
    </row>
    <row r="254" spans="1:11" s="41" customFormat="1" ht="103.9" customHeight="1" x14ac:dyDescent="0.2">
      <c r="A254" s="38" t="s">
        <v>203</v>
      </c>
      <c r="B254" s="38"/>
      <c r="C254" s="38"/>
      <c r="D254" s="39" t="s">
        <v>205</v>
      </c>
      <c r="E254" s="40"/>
      <c r="F254" s="40"/>
      <c r="G254" s="79">
        <f>H254+I254</f>
        <v>1078621144</v>
      </c>
      <c r="H254" s="79">
        <f>H256+H255</f>
        <v>409715808</v>
      </c>
      <c r="I254" s="79">
        <f>I256+I255</f>
        <v>668905336</v>
      </c>
      <c r="J254" s="79">
        <f>J256+J255</f>
        <v>668905336</v>
      </c>
      <c r="K254" s="22"/>
    </row>
    <row r="255" spans="1:11" s="26" customFormat="1" ht="35.450000000000003" customHeight="1" x14ac:dyDescent="0.2">
      <c r="A255" s="23" t="s">
        <v>392</v>
      </c>
      <c r="B255" s="23" t="s">
        <v>8</v>
      </c>
      <c r="C255" s="23" t="s">
        <v>24</v>
      </c>
      <c r="D255" s="24" t="s">
        <v>71</v>
      </c>
      <c r="E255" s="28"/>
      <c r="F255" s="28"/>
      <c r="G255" s="69">
        <f>H255+I255</f>
        <v>250000</v>
      </c>
      <c r="H255" s="72">
        <v>250000</v>
      </c>
      <c r="I255" s="71"/>
      <c r="J255" s="71"/>
    </row>
    <row r="256" spans="1:11" s="26" customFormat="1" ht="70.900000000000006" customHeight="1" x14ac:dyDescent="0.2">
      <c r="A256" s="23" t="s">
        <v>204</v>
      </c>
      <c r="B256" s="23" t="s">
        <v>198</v>
      </c>
      <c r="C256" s="23" t="s">
        <v>8</v>
      </c>
      <c r="D256" s="24" t="s">
        <v>200</v>
      </c>
      <c r="E256" s="58"/>
      <c r="F256" s="32"/>
      <c r="G256" s="69">
        <f>H256+I256</f>
        <v>1078371144</v>
      </c>
      <c r="H256" s="32">
        <f>363965808+55500000-10000000</f>
        <v>409465808</v>
      </c>
      <c r="I256" s="32">
        <f>649005336+250000+9500000+10000000+150000</f>
        <v>668905336</v>
      </c>
      <c r="J256" s="32">
        <f>649005336+250000+9500000+10000000+150000</f>
        <v>668905336</v>
      </c>
    </row>
    <row r="257" spans="1:11" s="26" customFormat="1" ht="149.44999999999999" customHeight="1" x14ac:dyDescent="0.2">
      <c r="A257" s="23"/>
      <c r="B257" s="23"/>
      <c r="C257" s="23"/>
      <c r="D257" s="24"/>
      <c r="E257" s="25" t="s">
        <v>319</v>
      </c>
      <c r="F257" s="25" t="s">
        <v>253</v>
      </c>
      <c r="G257" s="69">
        <f>H257+I257</f>
        <v>68311596</v>
      </c>
      <c r="H257" s="70">
        <f>H259</f>
        <v>25169651</v>
      </c>
      <c r="I257" s="70">
        <f>I259</f>
        <v>43141945</v>
      </c>
      <c r="J257" s="70">
        <f>J259</f>
        <v>43141945</v>
      </c>
    </row>
    <row r="258" spans="1:11" s="26" customFormat="1" ht="30.6" customHeight="1" x14ac:dyDescent="0.2">
      <c r="A258" s="27"/>
      <c r="B258" s="27"/>
      <c r="C258" s="27"/>
      <c r="D258" s="27"/>
      <c r="E258" s="28" t="s">
        <v>2</v>
      </c>
      <c r="F258" s="28"/>
      <c r="G258" s="69"/>
      <c r="H258" s="71"/>
      <c r="I258" s="71"/>
      <c r="J258" s="70"/>
    </row>
    <row r="259" spans="1:11" s="26" customFormat="1" ht="80.25" customHeight="1" x14ac:dyDescent="0.2">
      <c r="A259" s="38" t="s">
        <v>75</v>
      </c>
      <c r="B259" s="38"/>
      <c r="C259" s="38"/>
      <c r="D259" s="39" t="s">
        <v>233</v>
      </c>
      <c r="E259" s="40"/>
      <c r="F259" s="40"/>
      <c r="G259" s="79">
        <f>H259+I259</f>
        <v>68311596</v>
      </c>
      <c r="H259" s="79">
        <f t="shared" ref="H259:J260" si="21">H260</f>
        <v>25169651</v>
      </c>
      <c r="I259" s="79">
        <f t="shared" si="21"/>
        <v>43141945</v>
      </c>
      <c r="J259" s="79">
        <f t="shared" si="21"/>
        <v>43141945</v>
      </c>
    </row>
    <row r="260" spans="1:11" s="26" customFormat="1" ht="80.25" customHeight="1" x14ac:dyDescent="0.2">
      <c r="A260" s="38" t="s">
        <v>76</v>
      </c>
      <c r="B260" s="38"/>
      <c r="C260" s="38"/>
      <c r="D260" s="39" t="s">
        <v>233</v>
      </c>
      <c r="E260" s="40"/>
      <c r="F260" s="40"/>
      <c r="G260" s="79">
        <f>H260+I260</f>
        <v>68311596</v>
      </c>
      <c r="H260" s="79">
        <f t="shared" si="21"/>
        <v>25169651</v>
      </c>
      <c r="I260" s="79">
        <f t="shared" si="21"/>
        <v>43141945</v>
      </c>
      <c r="J260" s="79">
        <f t="shared" si="21"/>
        <v>43141945</v>
      </c>
    </row>
    <row r="261" spans="1:11" s="36" customFormat="1" ht="70.900000000000006" customHeight="1" x14ac:dyDescent="0.2">
      <c r="A261" s="23" t="s">
        <v>206</v>
      </c>
      <c r="B261" s="23" t="s">
        <v>198</v>
      </c>
      <c r="C261" s="23" t="s">
        <v>8</v>
      </c>
      <c r="D261" s="44" t="s">
        <v>200</v>
      </c>
      <c r="E261" s="45"/>
      <c r="F261" s="46"/>
      <c r="G261" s="69">
        <f>H261+I261</f>
        <v>68311596</v>
      </c>
      <c r="H261" s="32">
        <f>7849600+2520000+3430000+1370051+10000000</f>
        <v>25169651</v>
      </c>
      <c r="I261" s="83">
        <f>10840655+32301290</f>
        <v>43141945</v>
      </c>
      <c r="J261" s="83">
        <f>10840655+32301290</f>
        <v>43141945</v>
      </c>
      <c r="K261" s="26"/>
    </row>
    <row r="262" spans="1:11" s="26" customFormat="1" ht="93.6" customHeight="1" x14ac:dyDescent="0.2">
      <c r="A262" s="23"/>
      <c r="B262" s="23"/>
      <c r="C262" s="23"/>
      <c r="D262" s="24"/>
      <c r="E262" s="25" t="s">
        <v>439</v>
      </c>
      <c r="F262" s="25" t="s">
        <v>254</v>
      </c>
      <c r="G262" s="69">
        <f>H262+I262</f>
        <v>159060000</v>
      </c>
      <c r="H262" s="70">
        <f>H264</f>
        <v>157110000</v>
      </c>
      <c r="I262" s="70">
        <f>I264</f>
        <v>1950000</v>
      </c>
      <c r="J262" s="70">
        <f>J264</f>
        <v>1950000</v>
      </c>
    </row>
    <row r="263" spans="1:11" s="26" customFormat="1" ht="30.6" customHeight="1" x14ac:dyDescent="0.2">
      <c r="A263" s="27"/>
      <c r="B263" s="27"/>
      <c r="C263" s="27"/>
      <c r="D263" s="27"/>
      <c r="E263" s="28" t="s">
        <v>2</v>
      </c>
      <c r="F263" s="28"/>
      <c r="G263" s="69"/>
      <c r="H263" s="71"/>
      <c r="I263" s="71"/>
      <c r="J263" s="70"/>
    </row>
    <row r="264" spans="1:11" s="26" customFormat="1" ht="80.25" customHeight="1" x14ac:dyDescent="0.2">
      <c r="A264" s="38">
        <v>3700000</v>
      </c>
      <c r="B264" s="38"/>
      <c r="C264" s="38"/>
      <c r="D264" s="39" t="s">
        <v>207</v>
      </c>
      <c r="E264" s="40"/>
      <c r="F264" s="40"/>
      <c r="G264" s="79">
        <f t="shared" ref="G264:G272" si="22">H264+I264</f>
        <v>159060000</v>
      </c>
      <c r="H264" s="79">
        <f t="shared" ref="H264:J265" si="23">H265</f>
        <v>157110000</v>
      </c>
      <c r="I264" s="79">
        <f t="shared" si="23"/>
        <v>1950000</v>
      </c>
      <c r="J264" s="79">
        <f t="shared" si="23"/>
        <v>1950000</v>
      </c>
    </row>
    <row r="265" spans="1:11" s="26" customFormat="1" ht="80.25" customHeight="1" x14ac:dyDescent="0.2">
      <c r="A265" s="38" t="s">
        <v>208</v>
      </c>
      <c r="B265" s="38"/>
      <c r="C265" s="38"/>
      <c r="D265" s="39" t="s">
        <v>207</v>
      </c>
      <c r="E265" s="40"/>
      <c r="F265" s="40"/>
      <c r="G265" s="79">
        <f t="shared" si="22"/>
        <v>159060000</v>
      </c>
      <c r="H265" s="79">
        <f t="shared" si="23"/>
        <v>157110000</v>
      </c>
      <c r="I265" s="79">
        <f t="shared" si="23"/>
        <v>1950000</v>
      </c>
      <c r="J265" s="79">
        <f t="shared" si="23"/>
        <v>1950000</v>
      </c>
    </row>
    <row r="266" spans="1:11" s="36" customFormat="1" ht="70.900000000000006" customHeight="1" x14ac:dyDescent="0.2">
      <c r="A266" s="23" t="s">
        <v>209</v>
      </c>
      <c r="B266" s="23" t="s">
        <v>198</v>
      </c>
      <c r="C266" s="23" t="s">
        <v>8</v>
      </c>
      <c r="D266" s="44" t="s">
        <v>210</v>
      </c>
      <c r="E266" s="45"/>
      <c r="F266" s="46"/>
      <c r="G266" s="69">
        <f>H266+I266</f>
        <v>159060000</v>
      </c>
      <c r="H266" s="32">
        <f>69300000+7300000+81760000-1150000-100000</f>
        <v>157110000</v>
      </c>
      <c r="I266" s="83">
        <f>700000+1150000+100000</f>
        <v>1950000</v>
      </c>
      <c r="J266" s="83">
        <f>700000+1150000+100000</f>
        <v>1950000</v>
      </c>
      <c r="K266" s="26"/>
    </row>
    <row r="267" spans="1:11" s="26" customFormat="1" ht="82.9" customHeight="1" x14ac:dyDescent="0.2">
      <c r="A267" s="59"/>
      <c r="B267" s="59"/>
      <c r="C267" s="59"/>
      <c r="D267" s="60"/>
      <c r="E267" s="66" t="s">
        <v>321</v>
      </c>
      <c r="F267" s="68" t="s">
        <v>326</v>
      </c>
      <c r="G267" s="84">
        <f t="shared" si="22"/>
        <v>8000000</v>
      </c>
      <c r="H267" s="85">
        <f>H269</f>
        <v>8000000</v>
      </c>
      <c r="I267" s="85">
        <f>I269</f>
        <v>0</v>
      </c>
      <c r="J267" s="85">
        <f>J269</f>
        <v>0</v>
      </c>
    </row>
    <row r="268" spans="1:11" s="26" customFormat="1" ht="30.6" customHeight="1" x14ac:dyDescent="0.2">
      <c r="A268" s="27"/>
      <c r="B268" s="27"/>
      <c r="C268" s="27"/>
      <c r="D268" s="27"/>
      <c r="E268" s="28" t="s">
        <v>2</v>
      </c>
      <c r="F268" s="28"/>
      <c r="G268" s="69">
        <f t="shared" si="22"/>
        <v>0</v>
      </c>
      <c r="H268" s="71"/>
      <c r="I268" s="71"/>
      <c r="J268" s="70"/>
    </row>
    <row r="269" spans="1:11" s="26" customFormat="1" ht="80.25" customHeight="1" x14ac:dyDescent="0.2">
      <c r="A269" s="38" t="s">
        <v>68</v>
      </c>
      <c r="B269" s="38"/>
      <c r="C269" s="38"/>
      <c r="D269" s="39" t="s">
        <v>22</v>
      </c>
      <c r="E269" s="40"/>
      <c r="F269" s="40"/>
      <c r="G269" s="79">
        <f t="shared" si="22"/>
        <v>8000000</v>
      </c>
      <c r="H269" s="79">
        <f t="shared" ref="H269:J270" si="24">H270</f>
        <v>8000000</v>
      </c>
      <c r="I269" s="79">
        <f t="shared" si="24"/>
        <v>0</v>
      </c>
      <c r="J269" s="79">
        <f t="shared" si="24"/>
        <v>0</v>
      </c>
    </row>
    <row r="270" spans="1:11" s="26" customFormat="1" ht="80.25" customHeight="1" x14ac:dyDescent="0.2">
      <c r="A270" s="38" t="s">
        <v>69</v>
      </c>
      <c r="B270" s="38"/>
      <c r="C270" s="38"/>
      <c r="D270" s="39" t="s">
        <v>22</v>
      </c>
      <c r="E270" s="40"/>
      <c r="F270" s="40"/>
      <c r="G270" s="79">
        <f t="shared" si="22"/>
        <v>8000000</v>
      </c>
      <c r="H270" s="79">
        <f t="shared" si="24"/>
        <v>8000000</v>
      </c>
      <c r="I270" s="79">
        <f t="shared" si="24"/>
        <v>0</v>
      </c>
      <c r="J270" s="79">
        <f t="shared" si="24"/>
        <v>0</v>
      </c>
    </row>
    <row r="271" spans="1:11" s="36" customFormat="1" ht="38.450000000000003" customHeight="1" x14ac:dyDescent="0.2">
      <c r="A271" s="23" t="s">
        <v>229</v>
      </c>
      <c r="B271" s="23" t="s">
        <v>230</v>
      </c>
      <c r="C271" s="23" t="s">
        <v>231</v>
      </c>
      <c r="D271" s="44" t="s">
        <v>232</v>
      </c>
      <c r="E271" s="28"/>
      <c r="F271" s="28"/>
      <c r="G271" s="69">
        <f t="shared" si="22"/>
        <v>8000000</v>
      </c>
      <c r="H271" s="32">
        <v>8000000</v>
      </c>
      <c r="I271" s="32"/>
      <c r="J271" s="32"/>
      <c r="K271" s="26"/>
    </row>
    <row r="272" spans="1:11" s="26" customFormat="1" ht="95.45" customHeight="1" x14ac:dyDescent="0.2">
      <c r="A272" s="23"/>
      <c r="B272" s="23"/>
      <c r="C272" s="23"/>
      <c r="D272" s="24"/>
      <c r="E272" s="25" t="s">
        <v>320</v>
      </c>
      <c r="F272" s="25" t="s">
        <v>255</v>
      </c>
      <c r="G272" s="69">
        <f t="shared" si="22"/>
        <v>333390006</v>
      </c>
      <c r="H272" s="70">
        <f>H274+H278</f>
        <v>53021078</v>
      </c>
      <c r="I272" s="70">
        <f>I274+I278</f>
        <v>280368928</v>
      </c>
      <c r="J272" s="70">
        <f>J274+J278</f>
        <v>280368928</v>
      </c>
    </row>
    <row r="273" spans="1:11" s="26" customFormat="1" ht="30.6" customHeight="1" x14ac:dyDescent="0.2">
      <c r="A273" s="27"/>
      <c r="B273" s="27"/>
      <c r="C273" s="27"/>
      <c r="D273" s="27"/>
      <c r="E273" s="28" t="s">
        <v>2</v>
      </c>
      <c r="F273" s="28"/>
      <c r="G273" s="69"/>
      <c r="H273" s="71"/>
      <c r="I273" s="71"/>
      <c r="J273" s="70"/>
    </row>
    <row r="274" spans="1:11" s="26" customFormat="1" ht="103.9" customHeight="1" x14ac:dyDescent="0.2">
      <c r="A274" s="38" t="s">
        <v>202</v>
      </c>
      <c r="B274" s="38"/>
      <c r="C274" s="38"/>
      <c r="D274" s="39" t="s">
        <v>205</v>
      </c>
      <c r="E274" s="40"/>
      <c r="F274" s="40"/>
      <c r="G274" s="79">
        <f t="shared" ref="G274:G285" si="25">H274+I274</f>
        <v>330390006</v>
      </c>
      <c r="H274" s="79">
        <f>H275</f>
        <v>50021078</v>
      </c>
      <c r="I274" s="79">
        <f>I275</f>
        <v>280368928</v>
      </c>
      <c r="J274" s="79">
        <f>J275</f>
        <v>280368928</v>
      </c>
    </row>
    <row r="275" spans="1:11" s="26" customFormat="1" ht="103.9" customHeight="1" x14ac:dyDescent="0.2">
      <c r="A275" s="38" t="s">
        <v>203</v>
      </c>
      <c r="B275" s="38"/>
      <c r="C275" s="38"/>
      <c r="D275" s="39" t="s">
        <v>205</v>
      </c>
      <c r="E275" s="40"/>
      <c r="F275" s="40"/>
      <c r="G275" s="79">
        <f>G277+G276</f>
        <v>330390006</v>
      </c>
      <c r="H275" s="79">
        <f>H277+H276</f>
        <v>50021078</v>
      </c>
      <c r="I275" s="79">
        <f>I277+I276</f>
        <v>280368928</v>
      </c>
      <c r="J275" s="79">
        <f>J277+J276</f>
        <v>280368928</v>
      </c>
    </row>
    <row r="276" spans="1:11" s="36" customFormat="1" ht="49.15" customHeight="1" x14ac:dyDescent="0.2">
      <c r="A276" s="23" t="s">
        <v>288</v>
      </c>
      <c r="B276" s="23">
        <v>8240</v>
      </c>
      <c r="C276" s="23" t="s">
        <v>289</v>
      </c>
      <c r="D276" s="44" t="s">
        <v>287</v>
      </c>
      <c r="E276" s="28"/>
      <c r="F276" s="28"/>
      <c r="G276" s="69">
        <f>H276+I276</f>
        <v>80290006</v>
      </c>
      <c r="H276" s="32">
        <f>14390919-2419841</f>
        <v>11971078</v>
      </c>
      <c r="I276" s="32">
        <f>21899087+15000000+2419841+15000000+14000000</f>
        <v>68318928</v>
      </c>
      <c r="J276" s="32">
        <f>21899087+15000000+2419841+15000000+14000000</f>
        <v>68318928</v>
      </c>
      <c r="K276" s="26"/>
    </row>
    <row r="277" spans="1:11" s="36" customFormat="1" ht="70.900000000000006" customHeight="1" x14ac:dyDescent="0.2">
      <c r="A277" s="23" t="s">
        <v>204</v>
      </c>
      <c r="B277" s="23" t="s">
        <v>198</v>
      </c>
      <c r="C277" s="23" t="s">
        <v>8</v>
      </c>
      <c r="D277" s="44" t="s">
        <v>200</v>
      </c>
      <c r="E277" s="45"/>
      <c r="F277" s="46"/>
      <c r="G277" s="69">
        <f t="shared" si="25"/>
        <v>250100000</v>
      </c>
      <c r="H277" s="32">
        <f>37950000+100000</f>
        <v>38050000</v>
      </c>
      <c r="I277" s="83">
        <f>202050000+10000000</f>
        <v>212050000</v>
      </c>
      <c r="J277" s="83">
        <f>202050000+10000000</f>
        <v>212050000</v>
      </c>
      <c r="K277" s="26"/>
    </row>
    <row r="278" spans="1:11" s="26" customFormat="1" ht="80.25" customHeight="1" x14ac:dyDescent="0.2">
      <c r="A278" s="38" t="s">
        <v>75</v>
      </c>
      <c r="B278" s="38"/>
      <c r="C278" s="38"/>
      <c r="D278" s="39" t="s">
        <v>233</v>
      </c>
      <c r="E278" s="40"/>
      <c r="F278" s="40"/>
      <c r="G278" s="79">
        <f t="shared" si="25"/>
        <v>3000000</v>
      </c>
      <c r="H278" s="79">
        <f t="shared" ref="H278:J279" si="26">H279</f>
        <v>3000000</v>
      </c>
      <c r="I278" s="79">
        <f t="shared" si="26"/>
        <v>0</v>
      </c>
      <c r="J278" s="79">
        <f t="shared" si="26"/>
        <v>0</v>
      </c>
    </row>
    <row r="279" spans="1:11" s="26" customFormat="1" ht="80.25" customHeight="1" x14ac:dyDescent="0.2">
      <c r="A279" s="38" t="s">
        <v>76</v>
      </c>
      <c r="B279" s="38"/>
      <c r="C279" s="38"/>
      <c r="D279" s="39" t="s">
        <v>233</v>
      </c>
      <c r="E279" s="40"/>
      <c r="F279" s="40"/>
      <c r="G279" s="79">
        <f t="shared" si="25"/>
        <v>3000000</v>
      </c>
      <c r="H279" s="79">
        <f t="shared" si="26"/>
        <v>3000000</v>
      </c>
      <c r="I279" s="79">
        <f t="shared" si="26"/>
        <v>0</v>
      </c>
      <c r="J279" s="79">
        <f t="shared" si="26"/>
        <v>0</v>
      </c>
    </row>
    <row r="280" spans="1:11" s="36" customFormat="1" ht="70.900000000000006" customHeight="1" x14ac:dyDescent="0.2">
      <c r="A280" s="23" t="s">
        <v>206</v>
      </c>
      <c r="B280" s="23" t="s">
        <v>198</v>
      </c>
      <c r="C280" s="23" t="s">
        <v>8</v>
      </c>
      <c r="D280" s="44" t="s">
        <v>200</v>
      </c>
      <c r="E280" s="45"/>
      <c r="F280" s="46"/>
      <c r="G280" s="69">
        <f t="shared" si="25"/>
        <v>3000000</v>
      </c>
      <c r="H280" s="87">
        <v>3000000</v>
      </c>
      <c r="I280" s="83"/>
      <c r="J280" s="83"/>
      <c r="K280" s="26"/>
    </row>
    <row r="281" spans="1:11" s="26" customFormat="1" ht="84.6" customHeight="1" x14ac:dyDescent="0.2">
      <c r="A281" s="23"/>
      <c r="B281" s="23"/>
      <c r="C281" s="23"/>
      <c r="D281" s="24"/>
      <c r="E281" s="25" t="s">
        <v>322</v>
      </c>
      <c r="F281" s="25" t="s">
        <v>256</v>
      </c>
      <c r="G281" s="69">
        <f t="shared" si="25"/>
        <v>200000</v>
      </c>
      <c r="H281" s="70">
        <f>H283</f>
        <v>200000</v>
      </c>
      <c r="I281" s="70">
        <f>I283</f>
        <v>0</v>
      </c>
      <c r="J281" s="70">
        <f>J283</f>
        <v>0</v>
      </c>
    </row>
    <row r="282" spans="1:11" s="26" customFormat="1" ht="30.6" customHeight="1" x14ac:dyDescent="0.2">
      <c r="A282" s="27"/>
      <c r="B282" s="27"/>
      <c r="C282" s="27"/>
      <c r="D282" s="27"/>
      <c r="E282" s="28" t="s">
        <v>2</v>
      </c>
      <c r="F282" s="28"/>
      <c r="G282" s="69">
        <f t="shared" si="25"/>
        <v>0</v>
      </c>
      <c r="H282" s="71"/>
      <c r="I282" s="71"/>
      <c r="J282" s="70"/>
    </row>
    <row r="283" spans="1:11" s="26" customFormat="1" ht="80.25" customHeight="1" x14ac:dyDescent="0.2">
      <c r="A283" s="38" t="s">
        <v>234</v>
      </c>
      <c r="B283" s="38"/>
      <c r="C283" s="38"/>
      <c r="D283" s="39" t="s">
        <v>235</v>
      </c>
      <c r="E283" s="40"/>
      <c r="F283" s="40"/>
      <c r="G283" s="79">
        <f t="shared" si="25"/>
        <v>200000</v>
      </c>
      <c r="H283" s="79">
        <f t="shared" ref="H283:J284" si="27">H284</f>
        <v>200000</v>
      </c>
      <c r="I283" s="79">
        <f t="shared" si="27"/>
        <v>0</v>
      </c>
      <c r="J283" s="79">
        <f t="shared" si="27"/>
        <v>0</v>
      </c>
    </row>
    <row r="284" spans="1:11" s="26" customFormat="1" ht="80.25" customHeight="1" x14ac:dyDescent="0.2">
      <c r="A284" s="38" t="s">
        <v>236</v>
      </c>
      <c r="B284" s="38"/>
      <c r="C284" s="38"/>
      <c r="D284" s="39" t="s">
        <v>235</v>
      </c>
      <c r="E284" s="40"/>
      <c r="F284" s="40"/>
      <c r="G284" s="79">
        <f t="shared" si="25"/>
        <v>200000</v>
      </c>
      <c r="H284" s="79">
        <f t="shared" si="27"/>
        <v>200000</v>
      </c>
      <c r="I284" s="79">
        <f t="shared" si="27"/>
        <v>0</v>
      </c>
      <c r="J284" s="79">
        <f t="shared" si="27"/>
        <v>0</v>
      </c>
    </row>
    <row r="285" spans="1:11" s="36" customFormat="1" ht="70.900000000000006" customHeight="1" x14ac:dyDescent="0.2">
      <c r="A285" s="23" t="s">
        <v>237</v>
      </c>
      <c r="B285" s="23" t="s">
        <v>238</v>
      </c>
      <c r="C285" s="23" t="s">
        <v>224</v>
      </c>
      <c r="D285" s="44" t="s">
        <v>239</v>
      </c>
      <c r="E285" s="45"/>
      <c r="F285" s="46"/>
      <c r="G285" s="69">
        <f t="shared" si="25"/>
        <v>200000</v>
      </c>
      <c r="H285" s="32">
        <v>200000</v>
      </c>
      <c r="I285" s="83"/>
      <c r="J285" s="83"/>
      <c r="K285" s="26"/>
    </row>
    <row r="286" spans="1:11" s="26" customFormat="1" ht="84" customHeight="1" x14ac:dyDescent="0.2">
      <c r="A286" s="61"/>
      <c r="B286" s="61"/>
      <c r="C286" s="61"/>
      <c r="D286" s="57"/>
      <c r="E286" s="25" t="s">
        <v>275</v>
      </c>
      <c r="F286" s="25" t="s">
        <v>277</v>
      </c>
      <c r="G286" s="86">
        <f>G288</f>
        <v>6462137</v>
      </c>
      <c r="H286" s="86">
        <f>H288</f>
        <v>6462137</v>
      </c>
      <c r="I286" s="86">
        <f>I288</f>
        <v>0</v>
      </c>
      <c r="J286" s="86">
        <f>J288</f>
        <v>0</v>
      </c>
    </row>
    <row r="287" spans="1:11" s="26" customFormat="1" ht="30.6" customHeight="1" x14ac:dyDescent="0.2">
      <c r="A287" s="27" t="s">
        <v>276</v>
      </c>
      <c r="B287" s="27"/>
      <c r="C287" s="27"/>
      <c r="D287" s="27"/>
      <c r="E287" s="28" t="s">
        <v>2</v>
      </c>
      <c r="F287" s="28"/>
      <c r="G287" s="69">
        <f>H287+I287</f>
        <v>0</v>
      </c>
      <c r="H287" s="71"/>
      <c r="I287" s="71"/>
      <c r="J287" s="70"/>
    </row>
    <row r="288" spans="1:11" s="26" customFormat="1" ht="80.25" customHeight="1" x14ac:dyDescent="0.2">
      <c r="A288" s="38" t="s">
        <v>42</v>
      </c>
      <c r="B288" s="38"/>
      <c r="C288" s="38"/>
      <c r="D288" s="39" t="s">
        <v>11</v>
      </c>
      <c r="E288" s="40"/>
      <c r="F288" s="40"/>
      <c r="G288" s="79">
        <f t="shared" ref="G288:J289" si="28">G289</f>
        <v>6462137</v>
      </c>
      <c r="H288" s="79">
        <f t="shared" si="28"/>
        <v>6462137</v>
      </c>
      <c r="I288" s="79">
        <f t="shared" si="28"/>
        <v>0</v>
      </c>
      <c r="J288" s="79">
        <f t="shared" si="28"/>
        <v>0</v>
      </c>
    </row>
    <row r="289" spans="1:11" s="26" customFormat="1" ht="80.25" customHeight="1" x14ac:dyDescent="0.2">
      <c r="A289" s="38" t="s">
        <v>43</v>
      </c>
      <c r="B289" s="38"/>
      <c r="C289" s="38"/>
      <c r="D289" s="39" t="s">
        <v>11</v>
      </c>
      <c r="E289" s="40"/>
      <c r="F289" s="40"/>
      <c r="G289" s="79">
        <f t="shared" si="28"/>
        <v>6462137</v>
      </c>
      <c r="H289" s="79">
        <f t="shared" si="28"/>
        <v>6462137</v>
      </c>
      <c r="I289" s="79">
        <f t="shared" si="28"/>
        <v>0</v>
      </c>
      <c r="J289" s="79">
        <f t="shared" si="28"/>
        <v>0</v>
      </c>
    </row>
    <row r="290" spans="1:11" s="22" customFormat="1" ht="115.9" customHeight="1" x14ac:dyDescent="0.2">
      <c r="A290" s="23" t="s">
        <v>282</v>
      </c>
      <c r="B290" s="23" t="s">
        <v>190</v>
      </c>
      <c r="C290" s="23" t="s">
        <v>9</v>
      </c>
      <c r="D290" s="24" t="s">
        <v>191</v>
      </c>
      <c r="E290" s="28"/>
      <c r="F290" s="28"/>
      <c r="G290" s="69">
        <f>H290+I290</f>
        <v>6462137</v>
      </c>
      <c r="H290" s="83">
        <v>6462137</v>
      </c>
      <c r="I290" s="69"/>
      <c r="J290" s="69"/>
    </row>
    <row r="291" spans="1:11" s="26" customFormat="1" ht="102" customHeight="1" x14ac:dyDescent="0.2">
      <c r="A291" s="23"/>
      <c r="B291" s="23"/>
      <c r="C291" s="23"/>
      <c r="D291" s="24"/>
      <c r="E291" s="25" t="s">
        <v>323</v>
      </c>
      <c r="F291" s="68" t="s">
        <v>442</v>
      </c>
      <c r="G291" s="69">
        <f>H291+I291</f>
        <v>37500000</v>
      </c>
      <c r="H291" s="70">
        <f>H293</f>
        <v>37500000</v>
      </c>
      <c r="I291" s="70">
        <f>I293</f>
        <v>0</v>
      </c>
      <c r="J291" s="70">
        <f>J293</f>
        <v>0</v>
      </c>
    </row>
    <row r="292" spans="1:11" s="26" customFormat="1" ht="30.6" customHeight="1" x14ac:dyDescent="0.2">
      <c r="A292" s="27"/>
      <c r="B292" s="27"/>
      <c r="C292" s="27"/>
      <c r="D292" s="27"/>
      <c r="E292" s="28" t="s">
        <v>2</v>
      </c>
      <c r="F292" s="28"/>
      <c r="G292" s="69"/>
      <c r="H292" s="71"/>
      <c r="I292" s="71"/>
      <c r="J292" s="70"/>
    </row>
    <row r="293" spans="1:11" s="26" customFormat="1" ht="80.25" customHeight="1" x14ac:dyDescent="0.2">
      <c r="A293" s="38" t="s">
        <v>68</v>
      </c>
      <c r="B293" s="38"/>
      <c r="C293" s="38"/>
      <c r="D293" s="39" t="s">
        <v>90</v>
      </c>
      <c r="E293" s="40"/>
      <c r="F293" s="40"/>
      <c r="G293" s="79">
        <f>H293+I293</f>
        <v>37500000</v>
      </c>
      <c r="H293" s="79">
        <f t="shared" ref="H293:J294" si="29">H294</f>
        <v>37500000</v>
      </c>
      <c r="I293" s="79">
        <f t="shared" si="29"/>
        <v>0</v>
      </c>
      <c r="J293" s="79">
        <f t="shared" si="29"/>
        <v>0</v>
      </c>
    </row>
    <row r="294" spans="1:11" s="26" customFormat="1" ht="80.25" customHeight="1" x14ac:dyDescent="0.2">
      <c r="A294" s="38" t="s">
        <v>69</v>
      </c>
      <c r="B294" s="38"/>
      <c r="C294" s="38"/>
      <c r="D294" s="39" t="s">
        <v>90</v>
      </c>
      <c r="E294" s="40"/>
      <c r="F294" s="40"/>
      <c r="G294" s="79">
        <f>H294+I294</f>
        <v>37500000</v>
      </c>
      <c r="H294" s="79">
        <f t="shared" si="29"/>
        <v>37500000</v>
      </c>
      <c r="I294" s="79">
        <f t="shared" si="29"/>
        <v>0</v>
      </c>
      <c r="J294" s="79">
        <f t="shared" si="29"/>
        <v>0</v>
      </c>
    </row>
    <row r="295" spans="1:11" s="36" customFormat="1" ht="38.450000000000003" customHeight="1" x14ac:dyDescent="0.2">
      <c r="A295" s="23" t="s">
        <v>306</v>
      </c>
      <c r="B295" s="23" t="s">
        <v>307</v>
      </c>
      <c r="C295" s="23" t="s">
        <v>308</v>
      </c>
      <c r="D295" s="44" t="s">
        <v>309</v>
      </c>
      <c r="E295" s="28"/>
      <c r="F295" s="28"/>
      <c r="G295" s="69">
        <f>H295+I295</f>
        <v>37500000</v>
      </c>
      <c r="H295" s="32">
        <f>7500000+30000000</f>
        <v>37500000</v>
      </c>
      <c r="I295" s="32"/>
      <c r="J295" s="32"/>
      <c r="K295" s="26"/>
    </row>
    <row r="296" spans="1:11" s="26" customFormat="1" ht="93.6" customHeight="1" x14ac:dyDescent="0.2">
      <c r="A296" s="23"/>
      <c r="B296" s="23"/>
      <c r="C296" s="23"/>
      <c r="D296" s="24"/>
      <c r="E296" s="25" t="s">
        <v>440</v>
      </c>
      <c r="F296" s="25" t="s">
        <v>408</v>
      </c>
      <c r="G296" s="70">
        <f>G298</f>
        <v>1696145</v>
      </c>
      <c r="H296" s="70">
        <f>H298</f>
        <v>49645</v>
      </c>
      <c r="I296" s="70">
        <f>I298</f>
        <v>1646500</v>
      </c>
      <c r="J296" s="70">
        <f>J298</f>
        <v>1646500</v>
      </c>
    </row>
    <row r="297" spans="1:11" s="26" customFormat="1" ht="30.6" customHeight="1" x14ac:dyDescent="0.2">
      <c r="A297" s="27"/>
      <c r="B297" s="27"/>
      <c r="C297" s="27"/>
      <c r="D297" s="27"/>
      <c r="E297" s="28" t="s">
        <v>2</v>
      </c>
      <c r="F297" s="28"/>
      <c r="G297" s="69"/>
      <c r="H297" s="71"/>
      <c r="I297" s="71"/>
      <c r="J297" s="70"/>
    </row>
    <row r="298" spans="1:11" s="26" customFormat="1" ht="82.9" customHeight="1" x14ac:dyDescent="0.2">
      <c r="A298" s="30" t="s">
        <v>125</v>
      </c>
      <c r="B298" s="30"/>
      <c r="C298" s="30"/>
      <c r="D298" s="31" t="s">
        <v>126</v>
      </c>
      <c r="E298" s="28"/>
      <c r="F298" s="28"/>
      <c r="G298" s="69">
        <f>G299</f>
        <v>1696145</v>
      </c>
      <c r="H298" s="69">
        <f>H299</f>
        <v>49645</v>
      </c>
      <c r="I298" s="69">
        <f>I299</f>
        <v>1646500</v>
      </c>
      <c r="J298" s="69">
        <f>J299</f>
        <v>1646500</v>
      </c>
    </row>
    <row r="299" spans="1:11" s="26" customFormat="1" ht="82.9" customHeight="1" x14ac:dyDescent="0.2">
      <c r="A299" s="30" t="s">
        <v>127</v>
      </c>
      <c r="B299" s="30"/>
      <c r="C299" s="30"/>
      <c r="D299" s="31" t="s">
        <v>126</v>
      </c>
      <c r="E299" s="28"/>
      <c r="F299" s="28"/>
      <c r="G299" s="69">
        <f>G300+G301</f>
        <v>1696145</v>
      </c>
      <c r="H299" s="69">
        <f>H300+H301</f>
        <v>49645</v>
      </c>
      <c r="I299" s="69">
        <f>I300+I301</f>
        <v>1646500</v>
      </c>
      <c r="J299" s="69">
        <f>J300+J301</f>
        <v>1646500</v>
      </c>
    </row>
    <row r="300" spans="1:11" s="26" customFormat="1" ht="142.9" customHeight="1" x14ac:dyDescent="0.2">
      <c r="A300" s="23" t="s">
        <v>409</v>
      </c>
      <c r="B300" s="23" t="s">
        <v>410</v>
      </c>
      <c r="C300" s="23" t="s">
        <v>411</v>
      </c>
      <c r="D300" s="24" t="s">
        <v>412</v>
      </c>
      <c r="E300" s="28"/>
      <c r="F300" s="28"/>
      <c r="G300" s="69">
        <f>H300+I300</f>
        <v>283760</v>
      </c>
      <c r="H300" s="69"/>
      <c r="I300" s="83">
        <v>283760</v>
      </c>
      <c r="J300" s="83">
        <v>283760</v>
      </c>
    </row>
    <row r="301" spans="1:11" s="26" customFormat="1" ht="124.9" customHeight="1" x14ac:dyDescent="0.2">
      <c r="A301" s="23" t="s">
        <v>413</v>
      </c>
      <c r="B301" s="23" t="s">
        <v>414</v>
      </c>
      <c r="C301" s="23" t="s">
        <v>411</v>
      </c>
      <c r="D301" s="24" t="s">
        <v>415</v>
      </c>
      <c r="E301" s="28"/>
      <c r="F301" s="28"/>
      <c r="G301" s="69">
        <f>H301+I301</f>
        <v>1412385</v>
      </c>
      <c r="H301" s="83">
        <v>49645</v>
      </c>
      <c r="I301" s="83">
        <v>1362740</v>
      </c>
      <c r="J301" s="83">
        <v>1362740</v>
      </c>
    </row>
    <row r="302" spans="1:11" s="22" customFormat="1" ht="41.25" customHeight="1" x14ac:dyDescent="0.2">
      <c r="A302" s="61" t="s">
        <v>197</v>
      </c>
      <c r="B302" s="61" t="s">
        <v>197</v>
      </c>
      <c r="C302" s="61" t="s">
        <v>197</v>
      </c>
      <c r="D302" s="57" t="s">
        <v>139</v>
      </c>
      <c r="E302" s="25" t="s">
        <v>197</v>
      </c>
      <c r="F302" s="61" t="s">
        <v>197</v>
      </c>
      <c r="G302" s="86">
        <f>G12+G56+G62+G73+G79+G84+G97+G114+G119+G124+G160+G170+G186+G195+G201+G210+G218+G223+G235+G240+G246+G251+G257+G262+G272+G228+G267+G281+G286+G291+G51+G296</f>
        <v>7131914644.3500004</v>
      </c>
      <c r="H302" s="86">
        <f>H12+H56+H62+H73+H79+H84+H97+H114+H119+H124+H160+H170+H186+H195+H201+H210+H218+H223+H235+H240+H246+H251+H257+H262+H272+H228+H267+H281+H286+H291+H51+H296</f>
        <v>2097384955.5699999</v>
      </c>
      <c r="I302" s="86">
        <f>I12+I56+I62+I73+I79+I84+I97+I114+I119+I124+I160+I170+I186+I195+I201+I210+I218+I223+I235+I240+I246+I251+I257+I262+I272+I228+I267+I281+I286+I291+I51+I296</f>
        <v>5034529688.7800007</v>
      </c>
      <c r="J302" s="86">
        <f>J12+J56+J62+J73+J79+J84+J97+J114+J119+J124+J160+J170+J186+J195+J201+J210+J218+J223+J235+J240+J246+J251+J257+J262+J272+J228+J267+J281+J286+J291+J51+J296</f>
        <v>4515049897.79</v>
      </c>
    </row>
    <row r="303" spans="1:11" ht="30.75" customHeight="1" x14ac:dyDescent="0.2">
      <c r="G303" s="17"/>
      <c r="H303" s="17"/>
      <c r="I303" s="17"/>
      <c r="J303" s="17"/>
    </row>
    <row r="304" spans="1:11" s="63" customFormat="1" ht="37.5" customHeight="1" x14ac:dyDescent="0.45">
      <c r="A304" s="62"/>
      <c r="B304" s="62"/>
      <c r="C304" s="102" t="s">
        <v>279</v>
      </c>
      <c r="D304" s="102"/>
      <c r="E304" s="102"/>
      <c r="H304" s="104" t="s">
        <v>454</v>
      </c>
      <c r="I304" s="104"/>
      <c r="J304" s="104"/>
    </row>
    <row r="305" spans="1:10" x14ac:dyDescent="0.2">
      <c r="G305" s="17"/>
      <c r="H305" s="17"/>
      <c r="I305" s="17"/>
      <c r="J305" s="17"/>
    </row>
    <row r="306" spans="1:10" s="10" customFormat="1" ht="55.9" customHeight="1" x14ac:dyDescent="0.3">
      <c r="A306" s="11"/>
      <c r="B306" s="11"/>
      <c r="C306" s="103"/>
      <c r="D306" s="103"/>
      <c r="E306" s="103"/>
      <c r="F306" s="2"/>
      <c r="G306" s="17"/>
      <c r="H306" s="17"/>
      <c r="I306" s="17"/>
      <c r="J306" s="17"/>
    </row>
    <row r="307" spans="1:10" ht="40.9" customHeight="1" x14ac:dyDescent="0.2">
      <c r="A307" s="14"/>
      <c r="B307" s="14"/>
      <c r="C307" s="14"/>
      <c r="D307" s="15"/>
      <c r="E307" s="16"/>
      <c r="F307" s="10"/>
      <c r="G307" s="4"/>
      <c r="H307" s="4"/>
      <c r="I307" s="4"/>
      <c r="J307" s="4"/>
    </row>
    <row r="308" spans="1:10" ht="37.9" customHeight="1" x14ac:dyDescent="0.2">
      <c r="G308" s="65"/>
      <c r="H308" s="65"/>
      <c r="I308" s="65"/>
      <c r="J308" s="65"/>
    </row>
    <row r="309" spans="1:10" x14ac:dyDescent="0.2">
      <c r="G309" s="13"/>
      <c r="H309" s="13"/>
      <c r="I309" s="13"/>
      <c r="J309" s="13"/>
    </row>
    <row r="310" spans="1:10" x14ac:dyDescent="0.2">
      <c r="G310" s="13"/>
      <c r="H310" s="13"/>
      <c r="I310" s="13"/>
      <c r="J310" s="13"/>
    </row>
    <row r="311" spans="1:10" x14ac:dyDescent="0.2">
      <c r="G311" s="13"/>
      <c r="H311" s="13"/>
      <c r="I311" s="13"/>
      <c r="J311" s="13"/>
    </row>
    <row r="313" spans="1:10" x14ac:dyDescent="0.2">
      <c r="G313" s="17"/>
      <c r="H313" s="17"/>
      <c r="I313" s="17"/>
      <c r="J313" s="17"/>
    </row>
    <row r="1060" spans="1:7" x14ac:dyDescent="0.2">
      <c r="A1060" s="7"/>
      <c r="B1060" s="7"/>
      <c r="C1060" s="7"/>
      <c r="D1060" s="7"/>
      <c r="E1060" s="7"/>
      <c r="G1060" s="17">
        <f>G1056-'Додаток 7'!G302</f>
        <v>-7131914644.3500004</v>
      </c>
    </row>
  </sheetData>
  <sheetProtection selectLockedCells="1" selectUnlockedCells="1"/>
  <mergeCells count="18">
    <mergeCell ref="G9:G10"/>
    <mergeCell ref="H9:H10"/>
    <mergeCell ref="I9:J9"/>
    <mergeCell ref="C304:E304"/>
    <mergeCell ref="C306:E306"/>
    <mergeCell ref="H304:J304"/>
    <mergeCell ref="A9:A10"/>
    <mergeCell ref="B9:B10"/>
    <mergeCell ref="C9:C10"/>
    <mergeCell ref="D9:D10"/>
    <mergeCell ref="E9:E10"/>
    <mergeCell ref="F9:F10"/>
    <mergeCell ref="I1:J1"/>
    <mergeCell ref="I2:J2"/>
    <mergeCell ref="I3:J3"/>
    <mergeCell ref="A5:J5"/>
    <mergeCell ref="A6:C6"/>
    <mergeCell ref="A7:C7"/>
  </mergeCells>
  <printOptions horizontalCentered="1"/>
  <pageMargins left="0.98425196850393704" right="0.59055118110236227" top="0.59055118110236227" bottom="0.59055118110236227" header="0.39370078740157483" footer="0.39370078740157483"/>
  <pageSetup paperSize="9" scale="34" firstPageNumber="0" fitToHeight="0" orientation="landscape" r:id="rId1"/>
  <headerFooter differentFirst="1" alignWithMargins="0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Додаток 7</vt:lpstr>
      <vt:lpstr>'Додаток 7'!Excel_BuiltIn_Print_Titles</vt:lpstr>
      <vt:lpstr>'Додаток 7'!Z_96E2A35E_4A48_419F_9E38_8CEFA5D27C66_.wvu.PrintArea</vt:lpstr>
      <vt:lpstr>'Додаток 7'!Z_96E2A35E_4A48_419F_9E38_8CEFA5D27C66_.wvu.PrintTitles</vt:lpstr>
      <vt:lpstr>'Додаток 7'!Z_ABBD498D_3D2F_4E62_985A_EF1DC4D9DC47_.wvu.PrintArea</vt:lpstr>
      <vt:lpstr>'Додаток 7'!Z_ABBD498D_3D2F_4E62_985A_EF1DC4D9DC47_.wvu.PrintTitles</vt:lpstr>
      <vt:lpstr>'Додаток 7'!Z_E02D48B6_D0D9_4E6E_B70D_8E13580A6528_.wvu.PrintArea</vt:lpstr>
      <vt:lpstr>'Додаток 7'!Z_E02D48B6_D0D9_4E6E_B70D_8E13580A6528_.wvu.PrintTitles</vt:lpstr>
      <vt:lpstr>'Додаток 7'!Заголовки_для_печати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Вита</dc:creator>
  <cp:lastModifiedBy>User</cp:lastModifiedBy>
  <cp:lastPrinted>2025-12-15T08:40:32Z</cp:lastPrinted>
  <dcterms:created xsi:type="dcterms:W3CDTF">2017-12-18T15:55:26Z</dcterms:created>
  <dcterms:modified xsi:type="dcterms:W3CDTF">2025-12-16T15:46:46Z</dcterms:modified>
</cp:coreProperties>
</file>