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230" activeTab="1"/>
  </bookViews>
  <sheets>
    <sheet name="З" sheetId="1" r:id="rId1"/>
    <sheet name="НА" sheetId="2" r:id="rId2"/>
  </sheets>
  <definedNames>
    <definedName name="_xlnm._FilterDatabase" localSheetId="0" hidden="1">З!$B$13:$E$229</definedName>
    <definedName name="_xlnm._FilterDatabase" localSheetId="1" hidden="1">НА!$A$5:$I$351</definedName>
    <definedName name="Z_4644111A_82C5_489B_9E53_EB80700E535E_.wvu.FilterData" localSheetId="0" hidden="1">З!$B$13:$E$229</definedName>
    <definedName name="Z_4644111A_82C5_489B_9E53_EB80700E535E_.wvu.FilterData" localSheetId="1" hidden="1">НА!$A$5:$I$351</definedName>
    <definedName name="Z_4644111A_82C5_489B_9E53_EB80700E535E_.wvu.PrintArea" localSheetId="0" hidden="1">З!$B$1:$E$229</definedName>
    <definedName name="Z_4644111A_82C5_489B_9E53_EB80700E535E_.wvu.PrintArea" localSheetId="1" hidden="1">НА!$A$1:$I$353</definedName>
    <definedName name="Z_4644111A_82C5_489B_9E53_EB80700E535E_.wvu.PrintTitles" localSheetId="0" hidden="1">З!$B:$D,З!$10:$13</definedName>
    <definedName name="Z_4644111A_82C5_489B_9E53_EB80700E535E_.wvu.PrintTitles" localSheetId="1" hidden="1">НА!$5:$10</definedName>
    <definedName name="Z_879B1E14_7CA4_4463_9C42_4E2586107585_.wvu.FilterData" localSheetId="0" hidden="1">З!$B$13:$E$229</definedName>
    <definedName name="Z_879B1E14_7CA4_4463_9C42_4E2586107585_.wvu.FilterData" localSheetId="1" hidden="1">НА!$A$5:$I$351</definedName>
    <definedName name="Z_879B1E14_7CA4_4463_9C42_4E2586107585_.wvu.PrintArea" localSheetId="0" hidden="1">З!$B$1:$E$229</definedName>
    <definedName name="Z_879B1E14_7CA4_4463_9C42_4E2586107585_.wvu.PrintArea" localSheetId="1" hidden="1">НА!$A$1:$I$353</definedName>
    <definedName name="Z_879B1E14_7CA4_4463_9C42_4E2586107585_.wvu.PrintTitles" localSheetId="0" hidden="1">З!$B:$D,З!$10:$13</definedName>
    <definedName name="Z_879B1E14_7CA4_4463_9C42_4E2586107585_.wvu.PrintTitles" localSheetId="1" hidden="1">НА!$5:$10</definedName>
    <definedName name="Z_C9A6F9B2_0582_46B8_BF5A_2A8D2AC01FE2_.wvu.FilterData" localSheetId="0" hidden="1">З!$B$13:$E$229</definedName>
    <definedName name="Z_C9A6F9B2_0582_46B8_BF5A_2A8D2AC01FE2_.wvu.FilterData" localSheetId="1" hidden="1">НА!$A$5:$I$351</definedName>
    <definedName name="Z_C9A6F9B2_0582_46B8_BF5A_2A8D2AC01FE2_.wvu.PrintArea" localSheetId="0" hidden="1">З!$B$1:$E$229</definedName>
    <definedName name="Z_C9A6F9B2_0582_46B8_BF5A_2A8D2AC01FE2_.wvu.PrintArea" localSheetId="1" hidden="1">НА!$A$1:$I$353</definedName>
    <definedName name="Z_C9A6F9B2_0582_46B8_BF5A_2A8D2AC01FE2_.wvu.PrintTitles" localSheetId="0" hidden="1">З!$B:$D,З!$10:$13</definedName>
    <definedName name="Z_C9A6F9B2_0582_46B8_BF5A_2A8D2AC01FE2_.wvu.PrintTitles" localSheetId="1" hidden="1">НА!$5:$10</definedName>
    <definedName name="_xlnm.Print_Titles" localSheetId="0">З!$B:$D,З!$10:$13</definedName>
    <definedName name="_xlnm.Print_Titles" localSheetId="1">НА!$5:$10</definedName>
    <definedName name="_xlnm.Print_Area" localSheetId="0">З!$B$1:$E$230</definedName>
    <definedName name="_xlnm.Print_Area" localSheetId="1">НА!$A$1:$I$353</definedName>
  </definedNames>
  <calcPr calcId="145621"/>
  <customWorkbookViews>
    <customWorkbookView name="Рябова Наталія - Особисте подання" guid="{C9A6F9B2-0582-46B8-BF5A-2A8D2AC01FE2}" mergeInterval="0" personalView="1" maximized="1" xWindow="-8" yWindow="-8" windowWidth="1936" windowHeight="1056" activeSheetId="1"/>
    <customWorkbookView name="Грешних Наталія - Особисте подання" guid="{879B1E14-7CA4-4463-9C42-4E2586107585}" mergeInterval="0" personalView="1" maximized="1" xWindow="-8" yWindow="-8" windowWidth="1936" windowHeight="1056" activeSheetId="2"/>
    <customWorkbookView name="Гаврилюк Олена - Особисте подання" guid="{4644111A-82C5-489B-9E53-EB80700E535E}" mergeInterval="0" personalView="1" maximized="1" xWindow="-8" yWindow="-8" windowWidth="1296" windowHeight="696" activeSheetId="2"/>
  </customWorkbookViews>
</workbook>
</file>

<file path=xl/calcChain.xml><?xml version="1.0" encoding="utf-8"?>
<calcChain xmlns="http://schemas.openxmlformats.org/spreadsheetml/2006/main">
  <c r="F340" i="2" l="1"/>
  <c r="F334" i="2"/>
  <c r="E334" i="2"/>
  <c r="E333" i="2" s="1"/>
  <c r="H227" i="2"/>
  <c r="F227" i="2"/>
  <c r="H220" i="2"/>
  <c r="F220" i="2"/>
  <c r="H170" i="2"/>
  <c r="F170" i="2"/>
  <c r="H154" i="2"/>
  <c r="F154" i="2"/>
  <c r="H151" i="2"/>
  <c r="F151" i="2"/>
  <c r="F226" i="2" l="1"/>
  <c r="E226" i="2" s="1"/>
  <c r="F225" i="2"/>
  <c r="E225" i="2" s="1"/>
  <c r="F223" i="2"/>
  <c r="F219" i="2"/>
  <c r="F217" i="2"/>
  <c r="F211" i="2"/>
  <c r="F208" i="2"/>
  <c r="F207" i="2"/>
  <c r="F205" i="2"/>
  <c r="E203" i="2"/>
  <c r="F203" i="2"/>
  <c r="F200" i="2"/>
  <c r="F194" i="2"/>
  <c r="F183" i="2"/>
  <c r="F180" i="2"/>
  <c r="F177" i="2"/>
  <c r="F172" i="2"/>
  <c r="F168" i="2"/>
  <c r="F162" i="2"/>
  <c r="F161" i="2"/>
  <c r="F159" i="2"/>
  <c r="F158" i="2"/>
  <c r="F157" i="2"/>
  <c r="F156" i="2"/>
  <c r="F155" i="2"/>
  <c r="F153" i="2"/>
  <c r="F150" i="2"/>
  <c r="F149" i="2" l="1"/>
  <c r="E220" i="1" l="1"/>
  <c r="E219" i="1" s="1"/>
  <c r="E148" i="1" l="1"/>
  <c r="E146" i="1"/>
  <c r="E147" i="1"/>
  <c r="E144" i="1"/>
  <c r="E143" i="1"/>
  <c r="E142" i="1"/>
  <c r="F331" i="2" l="1"/>
  <c r="E305" i="2" l="1"/>
  <c r="E296" i="2"/>
  <c r="E288" i="2"/>
  <c r="E283" i="2"/>
  <c r="E269" i="2"/>
  <c r="E243" i="2"/>
  <c r="F243" i="2" s="1"/>
  <c r="E242" i="2"/>
  <c r="F242" i="2"/>
  <c r="E177" i="1" l="1"/>
  <c r="E163" i="1"/>
  <c r="E17" i="2" l="1"/>
  <c r="F20" i="2"/>
  <c r="E20" i="2"/>
  <c r="F18" i="2"/>
  <c r="E18" i="2"/>
  <c r="E216" i="1" l="1"/>
  <c r="H40" i="2" l="1"/>
  <c r="F40" i="2"/>
  <c r="F38" i="2"/>
  <c r="E37" i="2"/>
  <c r="E39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36" i="2"/>
  <c r="H38" i="2"/>
  <c r="F35" i="2"/>
  <c r="E38" i="2" l="1"/>
  <c r="E40" i="2"/>
  <c r="H35" i="2"/>
  <c r="E34" i="2"/>
  <c r="E203" i="1" l="1"/>
  <c r="E199" i="1"/>
  <c r="E28" i="1" l="1"/>
  <c r="E27" i="1" s="1"/>
  <c r="E61" i="1" l="1"/>
  <c r="E58" i="1"/>
  <c r="E50" i="1"/>
  <c r="E331" i="2" l="1"/>
  <c r="E330" i="2" s="1"/>
  <c r="F337" i="2" l="1"/>
  <c r="E227" i="1" l="1"/>
  <c r="E218" i="1" l="1"/>
  <c r="E217" i="1" s="1"/>
  <c r="E183" i="1" l="1"/>
  <c r="E65" i="1" l="1"/>
  <c r="E64" i="1" s="1"/>
  <c r="E51" i="1"/>
  <c r="E48" i="1"/>
  <c r="E60" i="1"/>
  <c r="E57" i="1"/>
  <c r="E54" i="1"/>
  <c r="H141" i="2" l="1"/>
  <c r="E141" i="2"/>
  <c r="H113" i="2"/>
  <c r="H111" i="2"/>
  <c r="E225" i="1"/>
  <c r="E224" i="1" s="1"/>
  <c r="E34" i="1"/>
  <c r="E204" i="1" l="1"/>
  <c r="E170" i="1" l="1"/>
  <c r="E187" i="1"/>
  <c r="F349" i="2" l="1"/>
  <c r="E349" i="2" s="1"/>
  <c r="E348" i="2" s="1"/>
  <c r="E210" i="1" l="1"/>
  <c r="E209" i="1"/>
  <c r="E207" i="1"/>
  <c r="E175" i="1"/>
  <c r="E172" i="1"/>
  <c r="E169" i="1"/>
  <c r="E165" i="1"/>
  <c r="E158" i="1"/>
  <c r="E145" i="1"/>
  <c r="H328" i="2" l="1"/>
  <c r="E36" i="1" l="1"/>
  <c r="E35" i="1" s="1"/>
  <c r="E22" i="1"/>
  <c r="E21" i="1" s="1"/>
  <c r="E24" i="1"/>
  <c r="E23" i="1" s="1"/>
  <c r="F327" i="2" l="1"/>
  <c r="E327" i="2"/>
  <c r="E201" i="1" l="1"/>
  <c r="E63" i="1" l="1"/>
  <c r="E62" i="1"/>
  <c r="E205" i="1" l="1"/>
  <c r="E200" i="1"/>
  <c r="E198" i="1"/>
  <c r="E174" i="1"/>
  <c r="E30" i="1" l="1"/>
  <c r="E206" i="1" l="1"/>
  <c r="E182" i="1"/>
  <c r="E168" i="1"/>
  <c r="E155" i="1"/>
  <c r="E66" i="1" l="1"/>
  <c r="E45" i="1" l="1"/>
  <c r="E44" i="1"/>
  <c r="E159" i="1" l="1"/>
  <c r="E202" i="1" l="1"/>
  <c r="E193" i="1"/>
  <c r="E196" i="1"/>
  <c r="E195" i="1"/>
  <c r="E194" i="1"/>
  <c r="E190" i="1"/>
  <c r="E184" i="1"/>
  <c r="E178" i="1"/>
  <c r="E171" i="1"/>
  <c r="E164" i="1"/>
  <c r="E153" i="1"/>
  <c r="E152" i="1"/>
  <c r="E141" i="1"/>
  <c r="E207" i="2" l="1"/>
  <c r="E208" i="2"/>
  <c r="H185" i="2" l="1"/>
  <c r="F185" i="2"/>
  <c r="H190" i="2"/>
  <c r="F190" i="2"/>
  <c r="E152" i="2"/>
  <c r="E154" i="2"/>
  <c r="E155" i="2"/>
  <c r="E156" i="2"/>
  <c r="E157" i="2"/>
  <c r="E158" i="2"/>
  <c r="E160" i="2"/>
  <c r="E161" i="2"/>
  <c r="E162" i="2"/>
  <c r="E163" i="2"/>
  <c r="E164" i="2"/>
  <c r="E165" i="2"/>
  <c r="E167" i="2"/>
  <c r="E168" i="2"/>
  <c r="E169" i="2"/>
  <c r="E170" i="2"/>
  <c r="E171" i="2"/>
  <c r="E173" i="2"/>
  <c r="E174" i="2"/>
  <c r="E175" i="2"/>
  <c r="E176" i="2"/>
  <c r="E177" i="2"/>
  <c r="E178" i="2"/>
  <c r="E179" i="2"/>
  <c r="E180" i="2"/>
  <c r="E181" i="2"/>
  <c r="E182" i="2"/>
  <c r="E184" i="2"/>
  <c r="E186" i="2"/>
  <c r="E187" i="2"/>
  <c r="E188" i="2"/>
  <c r="E189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4" i="2"/>
  <c r="E205" i="2"/>
  <c r="E206" i="2"/>
  <c r="E209" i="2"/>
  <c r="E210" i="2"/>
  <c r="E211" i="2"/>
  <c r="E212" i="2"/>
  <c r="E213" i="2"/>
  <c r="E215" i="2"/>
  <c r="E216" i="2"/>
  <c r="E218" i="2"/>
  <c r="E219" i="2"/>
  <c r="E221" i="2"/>
  <c r="E222" i="2"/>
  <c r="E224" i="2"/>
  <c r="E228" i="2"/>
  <c r="E229" i="2"/>
  <c r="E150" i="2"/>
  <c r="E149" i="2"/>
  <c r="E227" i="2"/>
  <c r="E223" i="2"/>
  <c r="E220" i="2"/>
  <c r="E217" i="2"/>
  <c r="F214" i="2"/>
  <c r="E214" i="2" s="1"/>
  <c r="E183" i="2"/>
  <c r="E172" i="2"/>
  <c r="F166" i="2"/>
  <c r="E166" i="2" s="1"/>
  <c r="E159" i="2"/>
  <c r="E153" i="2"/>
  <c r="E190" i="2" l="1"/>
  <c r="F148" i="2"/>
  <c r="E151" i="2"/>
  <c r="E185" i="2"/>
  <c r="H148" i="2"/>
  <c r="E214" i="1"/>
  <c r="E213" i="1"/>
  <c r="E211" i="1"/>
  <c r="E197" i="1"/>
  <c r="E192" i="1"/>
  <c r="E189" i="1"/>
  <c r="E181" i="1"/>
  <c r="E180" i="1"/>
  <c r="E167" i="1"/>
  <c r="E161" i="1"/>
  <c r="E160" i="1"/>
  <c r="E156" i="1"/>
  <c r="E151" i="1"/>
  <c r="E150" i="1"/>
  <c r="E149" i="1"/>
  <c r="E147" i="2" l="1"/>
  <c r="E212" i="1" l="1"/>
  <c r="E185" i="1"/>
  <c r="E179" i="1"/>
  <c r="E173" i="1"/>
  <c r="E166" i="1"/>
  <c r="E157" i="1"/>
  <c r="E154" i="1"/>
  <c r="F346" i="2" l="1"/>
  <c r="E215" i="1" l="1"/>
  <c r="E208" i="1" l="1"/>
  <c r="E176" i="1"/>
  <c r="F328" i="2" l="1"/>
  <c r="E328" i="2" s="1"/>
  <c r="E326" i="2" s="1"/>
  <c r="F23" i="2" l="1"/>
  <c r="F32" i="2"/>
  <c r="E32" i="2" s="1"/>
  <c r="F31" i="2"/>
  <c r="E31" i="2" s="1"/>
  <c r="F30" i="2"/>
  <c r="E30" i="2" s="1"/>
  <c r="F29" i="2"/>
  <c r="F28" i="2"/>
  <c r="E28" i="2" s="1"/>
  <c r="F27" i="2"/>
  <c r="E27" i="2" s="1"/>
  <c r="F26" i="2"/>
  <c r="E26" i="2" s="1"/>
  <c r="F25" i="2"/>
  <c r="F24" i="2"/>
  <c r="E24" i="2" s="1"/>
  <c r="E25" i="2"/>
  <c r="E29" i="2"/>
  <c r="E223" i="1" l="1"/>
  <c r="E222" i="1" s="1"/>
  <c r="E134" i="1" l="1"/>
  <c r="E119" i="1"/>
  <c r="E106" i="1"/>
  <c r="E78" i="1"/>
  <c r="E72" i="1"/>
  <c r="E162" i="1" l="1"/>
  <c r="E191" i="1"/>
  <c r="E188" i="1"/>
  <c r="E47" i="1" l="1"/>
  <c r="H116" i="2" l="1"/>
  <c r="H115" i="2"/>
  <c r="E26" i="1" l="1"/>
  <c r="F17" i="2" l="1"/>
  <c r="E19" i="2"/>
  <c r="F19" i="2" l="1"/>
  <c r="E16" i="2"/>
  <c r="E33" i="1"/>
  <c r="E226" i="1"/>
  <c r="E230" i="1" s="1"/>
  <c r="E71" i="1" l="1"/>
  <c r="E20" i="1" l="1"/>
  <c r="E19" i="1" s="1"/>
  <c r="E38" i="1"/>
  <c r="E37" i="1"/>
  <c r="H110" i="2" l="1"/>
  <c r="F145" i="2"/>
  <c r="E145" i="2" s="1"/>
  <c r="F144" i="2"/>
  <c r="E144" i="2" s="1"/>
  <c r="F143" i="2"/>
  <c r="E143" i="2" s="1"/>
  <c r="F142" i="2"/>
  <c r="E142" i="2" s="1"/>
  <c r="F140" i="2"/>
  <c r="E140" i="2" s="1"/>
  <c r="F139" i="2"/>
  <c r="E139" i="2" s="1"/>
  <c r="F138" i="2"/>
  <c r="E138" i="2" s="1"/>
  <c r="F137" i="2"/>
  <c r="E137" i="2" s="1"/>
  <c r="F136" i="2"/>
  <c r="E136" i="2" s="1"/>
  <c r="F135" i="2"/>
  <c r="E135" i="2" s="1"/>
  <c r="F134" i="2"/>
  <c r="E134" i="2" s="1"/>
  <c r="F133" i="2"/>
  <c r="E133" i="2" s="1"/>
  <c r="F132" i="2"/>
  <c r="E132" i="2" s="1"/>
  <c r="F131" i="2"/>
  <c r="E131" i="2" s="1"/>
  <c r="F130" i="2"/>
  <c r="E130" i="2" s="1"/>
  <c r="F129" i="2"/>
  <c r="E129" i="2" s="1"/>
  <c r="F128" i="2"/>
  <c r="E128" i="2" s="1"/>
  <c r="F127" i="2"/>
  <c r="E127" i="2" s="1"/>
  <c r="F126" i="2"/>
  <c r="E126" i="2" s="1"/>
  <c r="F125" i="2"/>
  <c r="E125" i="2" s="1"/>
  <c r="F124" i="2"/>
  <c r="E124" i="2" s="1"/>
  <c r="F123" i="2"/>
  <c r="E123" i="2" s="1"/>
  <c r="F122" i="2"/>
  <c r="E122" i="2" s="1"/>
  <c r="F121" i="2"/>
  <c r="E121" i="2" s="1"/>
  <c r="F120" i="2"/>
  <c r="E120" i="2" s="1"/>
  <c r="F119" i="2"/>
  <c r="E119" i="2" s="1"/>
  <c r="F118" i="2"/>
  <c r="E118" i="2" s="1"/>
  <c r="F117" i="2"/>
  <c r="E117" i="2" s="1"/>
  <c r="F116" i="2"/>
  <c r="E116" i="2" s="1"/>
  <c r="F115" i="2"/>
  <c r="E115" i="2" s="1"/>
  <c r="F114" i="2"/>
  <c r="E114" i="2" s="1"/>
  <c r="F113" i="2"/>
  <c r="E113" i="2" s="1"/>
  <c r="F112" i="2"/>
  <c r="E112" i="2" s="1"/>
  <c r="E111" i="2" l="1"/>
  <c r="F110" i="2"/>
  <c r="E109" i="2" s="1"/>
  <c r="E29" i="1"/>
  <c r="E16" i="1"/>
  <c r="E15" i="1" s="1"/>
  <c r="E94" i="1"/>
  <c r="E53" i="1"/>
  <c r="E55" i="1"/>
  <c r="F238" i="2" l="1"/>
  <c r="F237" i="2"/>
  <c r="F236" i="2"/>
  <c r="F235" i="2"/>
  <c r="F234" i="2"/>
  <c r="F233" i="2"/>
  <c r="F232" i="2"/>
  <c r="E323" i="2" l="1"/>
  <c r="F323" i="2" s="1"/>
  <c r="E324" i="2"/>
  <c r="F324" i="2" s="1"/>
  <c r="E322" i="2"/>
  <c r="F322" i="2" s="1"/>
  <c r="E321" i="2"/>
  <c r="F321" i="2" s="1"/>
  <c r="E318" i="2"/>
  <c r="F318" i="2" s="1"/>
  <c r="E17" i="1" l="1"/>
  <c r="E137" i="1" l="1"/>
  <c r="E136" i="1"/>
  <c r="E133" i="1"/>
  <c r="E132" i="1"/>
  <c r="E130" i="1"/>
  <c r="E128" i="1"/>
  <c r="E126" i="1"/>
  <c r="E125" i="1"/>
  <c r="E123" i="1"/>
  <c r="E122" i="1"/>
  <c r="E121" i="1"/>
  <c r="E118" i="1"/>
  <c r="E109" i="1"/>
  <c r="E114" i="1"/>
  <c r="E112" i="1"/>
  <c r="E111" i="1"/>
  <c r="E110" i="1"/>
  <c r="E108" i="1"/>
  <c r="E104" i="1"/>
  <c r="E102" i="1"/>
  <c r="E99" i="1"/>
  <c r="E98" i="1"/>
  <c r="E97" i="1"/>
  <c r="E96" i="1"/>
  <c r="E139" i="1"/>
  <c r="E95" i="1"/>
  <c r="E93" i="1"/>
  <c r="E91" i="1"/>
  <c r="E88" i="1"/>
  <c r="E86" i="1"/>
  <c r="E83" i="1"/>
  <c r="E82" i="1"/>
  <c r="E79" i="1"/>
  <c r="E76" i="1"/>
  <c r="E140" i="1" l="1"/>
  <c r="E138" i="1" l="1"/>
  <c r="E135" i="1"/>
  <c r="E131" i="1"/>
  <c r="E129" i="1"/>
  <c r="E127" i="1"/>
  <c r="E124" i="1"/>
  <c r="E120" i="1"/>
  <c r="E117" i="1"/>
  <c r="E116" i="1"/>
  <c r="E115" i="1"/>
  <c r="E113" i="1"/>
  <c r="E107" i="1"/>
  <c r="E105" i="1"/>
  <c r="E103" i="1"/>
  <c r="E101" i="1"/>
  <c r="E100" i="1"/>
  <c r="E92" i="1"/>
  <c r="E90" i="1"/>
  <c r="E89" i="1"/>
  <c r="E87" i="1"/>
  <c r="E85" i="1"/>
  <c r="E84" i="1"/>
  <c r="E80" i="1"/>
  <c r="E77" i="1"/>
  <c r="E74" i="1"/>
  <c r="E73" i="1"/>
  <c r="E70" i="1"/>
  <c r="E69" i="1"/>
  <c r="E68" i="1" l="1"/>
  <c r="E49" i="1"/>
  <c r="E46" i="1"/>
  <c r="F343" i="2" l="1"/>
  <c r="E14" i="2" l="1"/>
  <c r="F14" i="2" s="1"/>
  <c r="E59" i="1" l="1"/>
  <c r="E56" i="1"/>
  <c r="E52" i="1"/>
  <c r="E43" i="1" s="1"/>
  <c r="E42" i="1"/>
  <c r="E314" i="2" l="1"/>
  <c r="F314" i="2" s="1"/>
  <c r="E313" i="2"/>
  <c r="F313" i="2" s="1"/>
  <c r="E312" i="2"/>
  <c r="F312" i="2" s="1"/>
  <c r="E311" i="2"/>
  <c r="F311" i="2" s="1"/>
  <c r="E310" i="2"/>
  <c r="F310" i="2" s="1"/>
  <c r="E309" i="2"/>
  <c r="F309" i="2" s="1"/>
  <c r="E308" i="2"/>
  <c r="F308" i="2" s="1"/>
  <c r="E307" i="2"/>
  <c r="F307" i="2" s="1"/>
  <c r="E306" i="2"/>
  <c r="F306" i="2" s="1"/>
  <c r="F305" i="2"/>
  <c r="E304" i="2"/>
  <c r="F304" i="2" s="1"/>
  <c r="E303" i="2"/>
  <c r="F303" i="2" s="1"/>
  <c r="E302" i="2"/>
  <c r="F302" i="2" s="1"/>
  <c r="E301" i="2"/>
  <c r="F301" i="2" s="1"/>
  <c r="E300" i="2"/>
  <c r="F300" i="2" s="1"/>
  <c r="E299" i="2"/>
  <c r="F299" i="2" s="1"/>
  <c r="E298" i="2"/>
  <c r="F298" i="2" s="1"/>
  <c r="E297" i="2"/>
  <c r="F297" i="2" s="1"/>
  <c r="F296" i="2"/>
  <c r="E295" i="2"/>
  <c r="F295" i="2" s="1"/>
  <c r="E294" i="2"/>
  <c r="F294" i="2" s="1"/>
  <c r="E293" i="2"/>
  <c r="F293" i="2" s="1"/>
  <c r="E292" i="2"/>
  <c r="F292" i="2" s="1"/>
  <c r="E286" i="2"/>
  <c r="F286" i="2" s="1"/>
  <c r="E291" i="2"/>
  <c r="F291" i="2" s="1"/>
  <c r="E290" i="2"/>
  <c r="F290" i="2" s="1"/>
  <c r="E289" i="2"/>
  <c r="F289" i="2" s="1"/>
  <c r="F288" i="2"/>
  <c r="E287" i="2"/>
  <c r="F287" i="2" s="1"/>
  <c r="E285" i="2"/>
  <c r="F285" i="2" s="1"/>
  <c r="E284" i="2"/>
  <c r="F284" i="2" s="1"/>
  <c r="F283" i="2"/>
  <c r="E282" i="2"/>
  <c r="F282" i="2" s="1"/>
  <c r="E281" i="2"/>
  <c r="F281" i="2" s="1"/>
  <c r="E280" i="2"/>
  <c r="F280" i="2" s="1"/>
  <c r="E279" i="2"/>
  <c r="F279" i="2" s="1"/>
  <c r="E278" i="2"/>
  <c r="F278" i="2" s="1"/>
  <c r="E277" i="2"/>
  <c r="F277" i="2" s="1"/>
  <c r="E276" i="2"/>
  <c r="F276" i="2" s="1"/>
  <c r="E275" i="2"/>
  <c r="F275" i="2" s="1"/>
  <c r="E274" i="2"/>
  <c r="F274" i="2" s="1"/>
  <c r="E273" i="2"/>
  <c r="F273" i="2" s="1"/>
  <c r="E315" i="2"/>
  <c r="F315" i="2" s="1"/>
  <c r="E272" i="2"/>
  <c r="F272" i="2" s="1"/>
  <c r="E271" i="2"/>
  <c r="F271" i="2" s="1"/>
  <c r="E270" i="2"/>
  <c r="F270" i="2" s="1"/>
  <c r="F269" i="2"/>
  <c r="E268" i="2"/>
  <c r="F268" i="2" s="1"/>
  <c r="E267" i="2"/>
  <c r="F267" i="2" s="1"/>
  <c r="E266" i="2"/>
  <c r="F266" i="2" s="1"/>
  <c r="E265" i="2"/>
  <c r="F265" i="2" s="1"/>
  <c r="E264" i="2"/>
  <c r="F264" i="2" s="1"/>
  <c r="E263" i="2"/>
  <c r="F263" i="2" s="1"/>
  <c r="E262" i="2"/>
  <c r="F262" i="2" s="1"/>
  <c r="E261" i="2"/>
  <c r="F261" i="2" s="1"/>
  <c r="E260" i="2"/>
  <c r="F260" i="2" s="1"/>
  <c r="E259" i="2"/>
  <c r="F259" i="2" s="1"/>
  <c r="E258" i="2"/>
  <c r="F258" i="2" s="1"/>
  <c r="E257" i="2"/>
  <c r="F257" i="2" s="1"/>
  <c r="E256" i="2"/>
  <c r="F256" i="2" s="1"/>
  <c r="E255" i="2"/>
  <c r="F255" i="2" s="1"/>
  <c r="E254" i="2"/>
  <c r="F254" i="2" s="1"/>
  <c r="E252" i="2"/>
  <c r="F252" i="2" s="1"/>
  <c r="E251" i="2"/>
  <c r="F251" i="2" s="1"/>
  <c r="E249" i="2"/>
  <c r="F249" i="2" s="1"/>
  <c r="E253" i="2"/>
  <c r="F253" i="2" s="1"/>
  <c r="E248" i="2"/>
  <c r="F248" i="2" s="1"/>
  <c r="E250" i="2"/>
  <c r="F250" i="2" s="1"/>
  <c r="E247" i="2"/>
  <c r="F247" i="2" s="1"/>
  <c r="E246" i="2"/>
  <c r="F246" i="2" s="1"/>
  <c r="E245" i="2"/>
  <c r="F245" i="2" s="1"/>
  <c r="E244" i="2"/>
  <c r="F244" i="2" s="1"/>
  <c r="E241" i="2"/>
  <c r="F241" i="2" s="1"/>
  <c r="E32" i="1"/>
  <c r="E240" i="2" l="1"/>
  <c r="E320" i="2" l="1"/>
  <c r="E317" i="2" l="1"/>
  <c r="E23" i="2" l="1"/>
  <c r="E22" i="2" s="1"/>
  <c r="E13" i="2" l="1"/>
  <c r="E343" i="2" l="1"/>
  <c r="E342" i="2" s="1"/>
  <c r="E238" i="2" l="1"/>
  <c r="E236" i="2"/>
  <c r="E237" i="2"/>
  <c r="E235" i="2"/>
  <c r="E234" i="2"/>
  <c r="E232" i="2"/>
  <c r="E233" i="2" l="1"/>
  <c r="E231" i="2" s="1"/>
  <c r="E41" i="1" l="1"/>
  <c r="E39" i="1" s="1"/>
  <c r="E340" i="2" l="1"/>
  <c r="E339" i="2" s="1"/>
  <c r="E337" i="2" l="1"/>
  <c r="E336" i="2" s="1"/>
  <c r="E346" i="2" l="1"/>
  <c r="E345" i="2" l="1"/>
  <c r="E351" i="2" s="1"/>
  <c r="E350" i="2" l="1"/>
  <c r="E31" i="1"/>
  <c r="E25" i="1"/>
  <c r="E229" i="1" s="1"/>
  <c r="E228" i="1" l="1"/>
</calcChain>
</file>

<file path=xl/sharedStrings.xml><?xml version="1.0" encoding="utf-8"?>
<sst xmlns="http://schemas.openxmlformats.org/spreadsheetml/2006/main" count="818" uniqueCount="290">
  <si>
    <t>Обласний бюджет</t>
  </si>
  <si>
    <t>Державний бюджет</t>
  </si>
  <si>
    <t>Код бюджету</t>
  </si>
  <si>
    <t>(код бюджету)</t>
  </si>
  <si>
    <t>з них</t>
  </si>
  <si>
    <t>Додаток 5</t>
  </si>
  <si>
    <t>Бюджет Дубовиківської сільської територіальної громади</t>
  </si>
  <si>
    <t xml:space="preserve">Бюджет Глеюватської сільської територіальної громади </t>
  </si>
  <si>
    <t xml:space="preserve">Бюджет Затишнянської сільської територіальної громади </t>
  </si>
  <si>
    <t xml:space="preserve">Бюджет Магдалинівської селищної територіальної громади </t>
  </si>
  <si>
    <t xml:space="preserve">Бюджет Обухівської селищної територіальної громади </t>
  </si>
  <si>
    <t xml:space="preserve">Бюджет Чернеччинської сільської територіальної громади </t>
  </si>
  <si>
    <t xml:space="preserve">Бюджет Підгородненської міської територіальної громади </t>
  </si>
  <si>
    <t xml:space="preserve">Бюджет Черкаської селищної територіальної громади </t>
  </si>
  <si>
    <t>Бюджет Вільногірської міської територіальної громади</t>
  </si>
  <si>
    <t>Бюджет Губиниської селищної територіальної громади</t>
  </si>
  <si>
    <t xml:space="preserve">Бюджет Дніпровської міської територіальної громади </t>
  </si>
  <si>
    <t>Бюджет Жовтоводської міської територіальної громади</t>
  </si>
  <si>
    <t>Бюджет Криворізької міської територіальної громади</t>
  </si>
  <si>
    <t>Бюджет Лозуватської сільської територіальної громади</t>
  </si>
  <si>
    <t>Бюджет Нікопольської міської територіальної громади</t>
  </si>
  <si>
    <t>Бюджет Новопільської сільської територіальної громади</t>
  </si>
  <si>
    <t>Бюджет Павлоградської міської територіальної громади</t>
  </si>
  <si>
    <t>Бюджет Петропавлівської селищної територіальної громади</t>
  </si>
  <si>
    <t>Бюджет Покровської сільської територіальної громади</t>
  </si>
  <si>
    <t>Бюджет П’ятихатської міської територіальної громади</t>
  </si>
  <si>
    <t>Бюджет Синельниківської міської територіальної громади</t>
  </si>
  <si>
    <t>Бюджет Тернівської міської територіальної громади</t>
  </si>
  <si>
    <t xml:space="preserve">Бюджет Марганецької міської територіальної громади </t>
  </si>
  <si>
    <t xml:space="preserve">Бюджет Покровської міської територіальної громади </t>
  </si>
  <si>
    <t>Бюджет Апостолівської міської територіальної громади</t>
  </si>
  <si>
    <t xml:space="preserve">Бюджет Богданівської сільської територіальної громади </t>
  </si>
  <si>
    <t xml:space="preserve">Бюджет Божедарівської селищної територіальної громади </t>
  </si>
  <si>
    <t xml:space="preserve">Бюджет Вербківської сільської територіальної громади </t>
  </si>
  <si>
    <t xml:space="preserve">Бюджет Зеленодольської міської територіальної громади </t>
  </si>
  <si>
    <t xml:space="preserve">Бюджет Грушівської сільської територіальної громади </t>
  </si>
  <si>
    <t xml:space="preserve">Бюджет Могилівської сільської територіальної громади </t>
  </si>
  <si>
    <t xml:space="preserve">Бюджет Новопокровської селищної територіальної громади </t>
  </si>
  <si>
    <t xml:space="preserve">Бюджет Солонянської селищної територіальної громади </t>
  </si>
  <si>
    <t xml:space="preserve">Бюджет Слобожанської селищної територіальної громади </t>
  </si>
  <si>
    <t xml:space="preserve">Бюджет Мирівської сільської територіальної громади </t>
  </si>
  <si>
    <t xml:space="preserve">Бюджет Васильківської селищної територіальної громади </t>
  </si>
  <si>
    <t xml:space="preserve">Бюджет Вишнівської селищної територіальної громади </t>
  </si>
  <si>
    <t xml:space="preserve">Бюджет Криничанської селищної територіальної громади </t>
  </si>
  <si>
    <t xml:space="preserve">Бюджет Покровської селищної територіальної громади </t>
  </si>
  <si>
    <t xml:space="preserve">Бюджет Роздорської селищної територіальної громади </t>
  </si>
  <si>
    <t xml:space="preserve">Бюджет Софіївської селищної  територіальної громади </t>
  </si>
  <si>
    <t xml:space="preserve">Бюджет Томаківської селищної територіальної громади </t>
  </si>
  <si>
    <t xml:space="preserve">Бюджет Царичанської селищної територіальної громади </t>
  </si>
  <si>
    <t xml:space="preserve">Бюджет Великомихайлівської сільської територіальної громади </t>
  </si>
  <si>
    <t xml:space="preserve">Бюджет Гречаноподівської сільської територіальної громади </t>
  </si>
  <si>
    <t xml:space="preserve">Бюджет Маломихайлівської сільської територіальної громади </t>
  </si>
  <si>
    <t xml:space="preserve">Бюджет Верхньодніпровської міської територіальної громади  </t>
  </si>
  <si>
    <t xml:space="preserve">Бюджет Межівської селищної територіальної громади </t>
  </si>
  <si>
    <t xml:space="preserve">Бюджет Червоногригорівської селищної територіальної громади </t>
  </si>
  <si>
    <t xml:space="preserve">Бюджет Троїцької сільської територіальної громади </t>
  </si>
  <si>
    <t xml:space="preserve">Бюджет Петриківської селищної територіальної громади </t>
  </si>
  <si>
    <t xml:space="preserve">Бюджет Раївської сільської територіальної громади </t>
  </si>
  <si>
    <t xml:space="preserve">Бюджет Карпівської сільської територіальної громади </t>
  </si>
  <si>
    <t xml:space="preserve">Бюджет Широківської селищної територіальної громади </t>
  </si>
  <si>
    <t xml:space="preserve">Бюджет Любимівської сільської територіальної громади </t>
  </si>
  <si>
    <t xml:space="preserve">Бюджет Саксаганської сільської територіальної громади </t>
  </si>
  <si>
    <t xml:space="preserve">Бюджет Девладівської сільської територіальної громади </t>
  </si>
  <si>
    <t>Бюджет Личківської сільської територіальної громади</t>
  </si>
  <si>
    <t>Бюджет Перещепинської міської територіальної громади</t>
  </si>
  <si>
    <t>Бюджет Піщанської сільської територіальної громади</t>
  </si>
  <si>
    <t xml:space="preserve">Бюджет Межиріцької сільської територіальної громади </t>
  </si>
  <si>
    <t xml:space="preserve">Бюджет Новоолександрівської сільської територіальної громади </t>
  </si>
  <si>
    <t>Усього</t>
  </si>
  <si>
    <t>загальний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</si>
  <si>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</si>
  <si>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</si>
  <si>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1</t>
  </si>
  <si>
    <t>0919270</t>
  </si>
  <si>
    <t>0819770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</si>
  <si>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</si>
  <si>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</si>
  <si>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</si>
  <si>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</si>
  <si>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Бюджет Миколаївської сільської територіальної громади (Синельниківський район) </t>
  </si>
  <si>
    <t>Бюджет Миколаївської сільської територіальної громади (Дніпровський район)</t>
  </si>
  <si>
    <t>3719150</t>
  </si>
  <si>
    <t xml:space="preserve">Інші дотації з місцевого бюджету </t>
  </si>
  <si>
    <t>Субвенція з державного бюджету місцевим бюджетам на здійснення підтримки окремих закладів та заходів у системі охорони здоров’я</t>
  </si>
  <si>
    <t>(грн)</t>
  </si>
  <si>
    <t>х</t>
  </si>
  <si>
    <t xml:space="preserve"> видатки споживання</t>
  </si>
  <si>
    <t>Субвенція з місцевого бюджету державному бюджету на виконання програм соціально-економічного розвитку регіонів</t>
  </si>
  <si>
    <t>2919800</t>
  </si>
  <si>
    <t>2219800</t>
  </si>
  <si>
    <t>3719800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</si>
  <si>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</si>
  <si>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0410000000</t>
  </si>
  <si>
    <t>Інші субвенції з місцевого бюджету,</t>
  </si>
  <si>
    <t>у тому числі:</t>
  </si>
  <si>
    <t>0453600000</t>
  </si>
  <si>
    <t>0119770</t>
  </si>
  <si>
    <t>УСЬОГО за розділами І, ІІ, 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</si>
  <si>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</si>
  <si>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Бюджет Слов’янської сільської територіальної громади</t>
  </si>
  <si>
    <t xml:space="preserve">Бюджет Кам’янської міської територіальної громади </t>
  </si>
  <si>
    <t>на забезпечення офтальмологічної допомоги населенню міста</t>
  </si>
  <si>
    <t>0457810000</t>
  </si>
  <si>
    <t>1219770</t>
  </si>
  <si>
    <t>видатки розвитку</t>
  </si>
  <si>
    <t>Субвенція з обласного бюджету місцевим бюджетам на забезпечення окремих видатків районних рад, спрямованих на виконання їх повноважень</t>
  </si>
  <si>
    <t>Районний бюджет Дніпровського району</t>
  </si>
  <si>
    <t>Районний бюджет Криворізького району</t>
  </si>
  <si>
    <t>Районний бюджет Нікопольського району</t>
  </si>
  <si>
    <t>Районний бюджет Павлоградського району</t>
  </si>
  <si>
    <t>Районний бюджет Синельниківського району</t>
  </si>
  <si>
    <t>Районний бюджет Кам’янського району</t>
  </si>
  <si>
    <t>0430420000</t>
  </si>
  <si>
    <t>0430520000</t>
  </si>
  <si>
    <t>0430920000</t>
  </si>
  <si>
    <t>0431020000</t>
  </si>
  <si>
    <t>0431120000</t>
  </si>
  <si>
    <t>0431620000</t>
  </si>
  <si>
    <t>0432320000</t>
  </si>
  <si>
    <t xml:space="preserve">до рішення обласної ради </t>
  </si>
  <si>
    <t xml:space="preserve"> Продовження додатка 5</t>
  </si>
  <si>
    <t xml:space="preserve">Заступник голови обласної ради </t>
  </si>
  <si>
    <t>Реверсна дотація</t>
  </si>
  <si>
    <t>Департамент фінансів Дніпропетровської обласної державної адміністрації</t>
  </si>
  <si>
    <t>Служба у справах дітей Дніпропетровської обласної державної адміністрації</t>
  </si>
  <si>
    <t>Обласна рада</t>
  </si>
  <si>
    <t>Департамент соціального захисту населення Дніпропетровської обласної державної адміністрації</t>
  </si>
  <si>
    <t>Департамент житлово-комунального господарства та будівництва Дніпропетровської обласної державної адміністрації</t>
  </si>
  <si>
    <t>Районний бюджет Самарівського району</t>
  </si>
  <si>
    <t>Управління взаємодії з правоохоронними органами та оборонної роботи Дніпропетровської обласної державної адміністрації</t>
  </si>
  <si>
    <t>Департамент цивільного захисту Дніпропетровської обласної державної адміністрації</t>
  </si>
  <si>
    <t xml:space="preserve">Бюджет Вакулівської сільської територіальної громади </t>
  </si>
  <si>
    <t xml:space="preserve">Бюджет Новолатівської сільської територіальної громади </t>
  </si>
  <si>
    <t>0450500000</t>
  </si>
  <si>
    <t>0450300000</t>
  </si>
  <si>
    <t>0452000000</t>
  </si>
  <si>
    <t>0456300000</t>
  </si>
  <si>
    <t>0453000000</t>
  </si>
  <si>
    <t>0455600000</t>
  </si>
  <si>
    <t>0454500000</t>
  </si>
  <si>
    <t>Бюджет Зайцівської сільської територіальної громади</t>
  </si>
  <si>
    <t>0450600000</t>
  </si>
  <si>
    <t>0455000000</t>
  </si>
  <si>
    <t>0455700000</t>
  </si>
  <si>
    <t>0457900000</t>
  </si>
  <si>
    <t>0458300000</t>
  </si>
  <si>
    <t>0451100000</t>
  </si>
  <si>
    <t>0451300000</t>
  </si>
  <si>
    <t>0454200000</t>
  </si>
  <si>
    <t>0455100000</t>
  </si>
  <si>
    <t>0452200000</t>
  </si>
  <si>
    <t xml:space="preserve">Бюджет Лихівської селищної територіальної громади </t>
  </si>
  <si>
    <t>0457400000</t>
  </si>
  <si>
    <t>0457700000</t>
  </si>
  <si>
    <t>0458200000</t>
  </si>
  <si>
    <t>0458400000</t>
  </si>
  <si>
    <t>0456200000</t>
  </si>
  <si>
    <t>0458900000</t>
  </si>
  <si>
    <t>0459100000</t>
  </si>
  <si>
    <t>0450100000</t>
  </si>
  <si>
    <t>0450200000</t>
  </si>
  <si>
    <t>0451800000</t>
  </si>
  <si>
    <t>0457200000</t>
  </si>
  <si>
    <t>0451900000</t>
  </si>
  <si>
    <t>0457300000</t>
  </si>
  <si>
    <t>0457500000</t>
  </si>
  <si>
    <t>0453500000</t>
  </si>
  <si>
    <t>0456400000</t>
  </si>
  <si>
    <t>0454700000</t>
  </si>
  <si>
    <t>0454900000</t>
  </si>
  <si>
    <t xml:space="preserve">Бюджет Китайгородської сільської територіальної громади </t>
  </si>
  <si>
    <t>0452100000</t>
  </si>
  <si>
    <t>0455300000</t>
  </si>
  <si>
    <t>0450800000</t>
  </si>
  <si>
    <t xml:space="preserve">Бюджет Ляшківської сільської територіальної громади </t>
  </si>
  <si>
    <t>0456500000</t>
  </si>
  <si>
    <t>0454100000</t>
  </si>
  <si>
    <t>0454400000</t>
  </si>
  <si>
    <t>0450900000</t>
  </si>
  <si>
    <t>0451000000</t>
  </si>
  <si>
    <t xml:space="preserve">Бюджет Нивотрудівської сільської територіальної громади </t>
  </si>
  <si>
    <t>0453200000</t>
  </si>
  <si>
    <t>0451200000</t>
  </si>
  <si>
    <t>0456600000</t>
  </si>
  <si>
    <t>0455800000</t>
  </si>
  <si>
    <t>0453900000</t>
  </si>
  <si>
    <t>0454300000</t>
  </si>
  <si>
    <t>0458600000</t>
  </si>
  <si>
    <t>0455900000</t>
  </si>
  <si>
    <t>0458800000</t>
  </si>
  <si>
    <t>0452400000</t>
  </si>
  <si>
    <t>0455500000</t>
  </si>
  <si>
    <t>0450400000</t>
  </si>
  <si>
    <t>0451500000</t>
  </si>
  <si>
    <t>0452500000</t>
  </si>
  <si>
    <t>0451400000</t>
  </si>
  <si>
    <t xml:space="preserve">Бюджет Сурсько-Литовської сільської територіальної громади </t>
  </si>
  <si>
    <t>0452600000</t>
  </si>
  <si>
    <t>0455400000</t>
  </si>
  <si>
    <t>0452700000</t>
  </si>
  <si>
    <t>0456700000</t>
  </si>
  <si>
    <t>0456000000</t>
  </si>
  <si>
    <t>Бюджет Чумаківської сільської територіальної громади</t>
  </si>
  <si>
    <t>0455200000</t>
  </si>
  <si>
    <t>Субвенція з обласного бюджету до місцевих бюджетів на соціально-економічний розвиток окремих територій</t>
  </si>
  <si>
    <t>0454600000</t>
  </si>
  <si>
    <t>видатки споживання</t>
  </si>
  <si>
    <t>Субвенція з обласного бюджету Дніпропетровської області до обласного бюджету Закарпатської області для організації надання соціальних послуг стаціонарного догляду для дітей з інвалідністю</t>
  </si>
  <si>
    <t>Обласний бюджет Закарпатської області</t>
  </si>
  <si>
    <t>Субвенція з обласного бюджету Дніпропетровської області для організації надання соціальних послуг стаціонарного догляду для громадян похилого віку та осіб з інвалідністю</t>
  </si>
  <si>
    <t>0210000000</t>
  </si>
  <si>
    <t>Обласний бюджет Вінницької області</t>
  </si>
  <si>
    <t>0610000000</t>
  </si>
  <si>
    <t>Обласний бюджет Житомирської області</t>
  </si>
  <si>
    <t>1710000000</t>
  </si>
  <si>
    <t>Обласний бюджет Рівненської області</t>
  </si>
  <si>
    <t>2310000000</t>
  </si>
  <si>
    <t>Обласний бюджет Черкаської області</t>
  </si>
  <si>
    <t>Код Класифікації доходу бюджету/
Код бюджету</t>
  </si>
  <si>
    <t xml:space="preserve">Найменування трансферту/
Найменування бюджету – надавача міжбюджетного трансферту
                                                                                 </t>
  </si>
  <si>
    <t>Код Програмної класифікації видатків та кредитування місцевого бюджету/ Код бюджету</t>
  </si>
  <si>
    <t xml:space="preserve">Найменування трансферту/
Найменування бюджету – отримувача міжбюджетного трансферту
</t>
  </si>
  <si>
    <r>
      <t xml:space="preserve">на заходи програми “Програма розвитку місцевого самоврядування у Дніпропетровській області 
на 2012 </t>
    </r>
    <r>
      <rPr>
        <b/>
        <sz val="14"/>
        <rFont val="Calibri"/>
        <family val="2"/>
        <charset val="204"/>
      </rPr>
      <t>—</t>
    </r>
    <r>
      <rPr>
        <b/>
        <sz val="14"/>
        <rFont val="Times New Roman"/>
        <family val="1"/>
        <charset val="204"/>
      </rPr>
      <t xml:space="preserve"> 2026 рокиˮ</t>
    </r>
  </si>
  <si>
    <t xml:space="preserve">  Міжбюджетні трансферти на 2026 рік</t>
  </si>
  <si>
    <t>Субвенція з обласного бюджету бюджетам територіальних громад на виконання доручень виборців депутатами обласної ради у 2026 році</t>
  </si>
  <si>
    <t>для удосконалення надання екстреної медичної допомоги</t>
  </si>
  <si>
    <r>
      <t xml:space="preserve">на заходи програми “Програма територіальної оборони Дніпропетровської області та забезпечення заходів мобілізації на 2022 </t>
    </r>
    <r>
      <rPr>
        <b/>
        <sz val="14"/>
        <rFont val="Calibri"/>
        <family val="2"/>
        <charset val="204"/>
      </rPr>
      <t>—</t>
    </r>
    <r>
      <rPr>
        <b/>
        <sz val="14"/>
        <rFont val="Times New Roman"/>
        <family val="1"/>
        <charset val="204"/>
      </rPr>
      <t xml:space="preserve"> 2028 рокиˮ</t>
    </r>
  </si>
  <si>
    <r>
      <t xml:space="preserve">на заходи програми “Регіональна цільова програма захисту населення і територій від надзвичайних ситуацій техногенного та природного характеру, забезпечення пожежної безпеки Дніпропетровської області на 2021 </t>
    </r>
    <r>
      <rPr>
        <b/>
        <sz val="14"/>
        <rFont val="Calibri"/>
        <family val="2"/>
        <charset val="204"/>
      </rPr>
      <t>—</t>
    </r>
    <r>
      <rPr>
        <b/>
        <sz val="14"/>
        <rFont val="Times New Roman"/>
        <family val="1"/>
        <charset val="204"/>
      </rPr>
      <t xml:space="preserve"> 2028 рокиˮ</t>
    </r>
  </si>
  <si>
    <r>
      <t xml:space="preserve">на заходи програми “Програма впровадження державної політики органами виконавчої влади у Дніпропетровській області 
на 2016 </t>
    </r>
    <r>
      <rPr>
        <b/>
        <sz val="14"/>
        <rFont val="Calibri"/>
        <family val="2"/>
        <charset val="204"/>
      </rPr>
      <t>—</t>
    </r>
    <r>
      <rPr>
        <b/>
        <sz val="14"/>
        <rFont val="Times New Roman"/>
        <family val="1"/>
        <charset val="204"/>
      </rPr>
      <t xml:space="preserve"> 2028 рокиˮ</t>
    </r>
  </si>
  <si>
    <t>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2028 року</t>
  </si>
  <si>
    <t>Додаткова дотація з державного бюджету на функціонування територій, на яких ведуться бойові дії</t>
  </si>
  <si>
    <t xml:space="preserve">Бюджет Яворницької селищної територіальної громади </t>
  </si>
  <si>
    <t xml:space="preserve">Бюджет Української селищної територіальної громади </t>
  </si>
  <si>
    <t>Бюджет Богинівської сільської територіальної громади</t>
  </si>
  <si>
    <t>Бюджет Самарівської міської територіальної громади</t>
  </si>
  <si>
    <t xml:space="preserve">Бюджет Святовасилівської селищної територіальної громади </t>
  </si>
  <si>
    <t xml:space="preserve">Бюджет Мозолевської сільської територіальної громади </t>
  </si>
  <si>
    <t xml:space="preserve">Бюджет Юріївської селищної територіальної громади </t>
  </si>
  <si>
    <t>Бюджет Шахтарської міської територіальної громади</t>
  </si>
  <si>
    <t xml:space="preserve">Бюджет Славгородської селищної територіальної громади 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</si>
  <si>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здоров’я</t>
  </si>
  <si>
    <t>Освітня субвенція з державного бюджету місцевим бюджетам</t>
  </si>
  <si>
    <t>Департамент освіти і науки Дніпропетровської обласної державної адміністрації</t>
  </si>
  <si>
    <t>0619310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</si>
  <si>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</si>
  <si>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</si>
  <si>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>на приватні школи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</si>
  <si>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</si>
  <si>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</si>
  <si>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0457100000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</si>
  <si>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</si>
  <si>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 xml:space="preserve"> ІІ. Трансферти до спеціального фонду бюджету</t>
  </si>
  <si>
    <t>спеціальний фонд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</si>
  <si>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</si>
  <si>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Управління з питань ветеранської політики Дніпропетровської обласної державної адміністрації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</si>
  <si>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</si>
  <si>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0453300000</t>
  </si>
  <si>
    <t xml:space="preserve">Бюджет Новопавлівської сільської територіальної громади </t>
  </si>
  <si>
    <t>0456800000</t>
  </si>
  <si>
    <t>0458500000</t>
  </si>
  <si>
    <t>0458000000</t>
  </si>
  <si>
    <t>0457000000</t>
  </si>
  <si>
    <t>Субвенція з державного бюджету місцевим бюджетам на реалізацію проектів в рамках Програми з відновлення України</t>
  </si>
  <si>
    <t>0453700000</t>
  </si>
  <si>
    <t>на заходи програми “Регіональна програма забезпечення громадського порядку та громадської безпеки на території Дніпропетровської області на період 
до 2028 рокуˮ</t>
  </si>
  <si>
    <t>0452900000</t>
  </si>
  <si>
    <t>0451600000</t>
  </si>
  <si>
    <r>
      <t xml:space="preserve"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 </t>
    </r>
    <r>
      <rPr>
        <b/>
        <sz val="14"/>
        <rFont val="Calibri"/>
        <family val="2"/>
        <charset val="204"/>
      </rPr>
      <t>—</t>
    </r>
    <r>
      <rPr>
        <b/>
        <sz val="14"/>
        <rFont val="Times New Roman"/>
        <family val="1"/>
        <charset val="204"/>
      </rPr>
      <t xml:space="preserve"> 2027 роки  </t>
    </r>
  </si>
  <si>
    <r>
      <t>субвенція з селищного бюджету до обласного бюджету на виконання заходів Програми “Розвиток профтехосвіти на території Царичанської селищної ради на 2024</t>
    </r>
    <r>
      <rPr>
        <b/>
        <sz val="14"/>
        <rFont val="Calibri"/>
        <family val="2"/>
        <charset val="204"/>
      </rPr>
      <t>—</t>
    </r>
    <r>
      <rPr>
        <b/>
        <sz val="14"/>
        <rFont val="Times New Roman"/>
        <family val="1"/>
        <charset val="204"/>
      </rPr>
      <t xml:space="preserve">2027 роки” </t>
    </r>
  </si>
  <si>
    <t>Бюджет Верхівцівської міської територіальної громади</t>
  </si>
  <si>
    <t>на забезпечення належних умов для надання медичної допомоги населенню</t>
  </si>
  <si>
    <t>0459000000</t>
  </si>
  <si>
    <t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</si>
  <si>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</si>
  <si>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</si>
  <si>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0458700000</t>
  </si>
  <si>
    <t>на розроблення технічної документації із землеустрою КНТ “Міжобласний центр медичної генетики і пренатальної діагностики імені П.М. Веропотвеляна” ДОР”</t>
  </si>
  <si>
    <t xml:space="preserve">на співфінансування видатків КЗ “Стародобровільський ПНІ” ДОР” </t>
  </si>
  <si>
    <t>458300000</t>
  </si>
  <si>
    <t>0619800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</si>
  <si>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</si>
  <si>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0454800000</t>
  </si>
  <si>
    <t>оплата праці фахівців із супроводу ветеранів війни та демобілізованих осіб, а також фінансової підтримки комунальних некомерційних підприємств, на яких вони працевлаштовані</t>
  </si>
  <si>
    <t>виплати грошової компенсації за найм (оренду) житлових приміщень</t>
  </si>
  <si>
    <t>на заходи Регіональної цільової соціальної програми “Освіта Дніпропетровщини до 2027 року”</t>
  </si>
  <si>
    <t>0457600000</t>
  </si>
  <si>
    <t>на забезпечення функціонування та утримання закладів з підготовки громадян до національного спротиву</t>
  </si>
  <si>
    <r>
      <t xml:space="preserve">на заходи програми розвитку місцевого самоврядування у Дніпропетровській області на 2012 </t>
    </r>
    <r>
      <rPr>
        <b/>
        <sz val="14"/>
        <rFont val="Calibri"/>
        <family val="2"/>
        <charset val="204"/>
      </rPr>
      <t>—</t>
    </r>
    <r>
      <rPr>
        <b/>
        <sz val="7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2026 роки</t>
    </r>
  </si>
  <si>
    <t>Ігор КАШИРІН</t>
  </si>
  <si>
    <t>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</si>
</sst>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"/>
  </numFmts>
  <fonts count="15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4"/>
      <name val="Calibri"/>
      <family val="2"/>
      <charset val="204"/>
    </font>
    <font>
      <u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133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4" fillId="0" borderId="0" xfId="0" applyFont="1" applyFill="1" applyBorder="1"/>
    <xf numFmtId="4" fontId="2" fillId="0" borderId="0" xfId="0" applyNumberFormat="1" applyFont="1" applyFill="1"/>
    <xf numFmtId="0" fontId="4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8" fillId="0" borderId="0" xfId="0" applyFont="1" applyFill="1"/>
    <xf numFmtId="4" fontId="2" fillId="0" borderId="0" xfId="0" applyNumberFormat="1" applyFont="1" applyFill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0" fontId="9" fillId="0" borderId="0" xfId="0" applyFont="1" applyFill="1"/>
    <xf numFmtId="3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1" fontId="4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/>
    <xf numFmtId="4" fontId="4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wrapText="1"/>
    </xf>
    <xf numFmtId="49" fontId="4" fillId="0" borderId="5" xfId="0" applyNumberFormat="1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right" wrapText="1"/>
    </xf>
    <xf numFmtId="4" fontId="8" fillId="0" borderId="0" xfId="0" applyNumberFormat="1" applyFont="1" applyFill="1" applyBorder="1" applyAlignment="1">
      <alignment horizontal="center" wrapText="1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/>
    </xf>
    <xf numFmtId="4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right" vertical="center" wrapText="1"/>
    </xf>
  </cellXfs>
  <cellStyles count="5">
    <cellStyle name="Normal" xfId="4"/>
    <cellStyle name="Обычный" xfId="0" builtinId="0"/>
    <cellStyle name="Обычный 2" xfId="1"/>
    <cellStyle name="Обычный 4" xfId="2"/>
    <cellStyle name="Обычный 5" xfId="3"/>
  </cellStyles>
  <dxfs count="0"/>
  <tableStyles count="0" defaultTableStyle="TableStyleMedium2" defaultPivotStyle="PivotStyleLight16"/>
  <colors>
    <mruColors>
      <color rgb="FF8EBDCC"/>
      <color rgb="FFFFFF99"/>
      <color rgb="FF00FFFF"/>
      <color rgb="FF993366"/>
      <color rgb="FF72CED0"/>
      <color rgb="FFD75F62"/>
      <color rgb="FF990033"/>
      <color rgb="FFE5FB9D"/>
      <color rgb="FFF5F8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1"/>
  <sheetViews>
    <sheetView showZeros="0" view="pageBreakPreview" zoomScale="84" zoomScaleNormal="25" zoomScaleSheetLayoutView="84" workbookViewId="0">
      <pane xSplit="4" ySplit="13" topLeftCell="E25" activePane="bottomRight" state="frozen"/>
      <selection pane="topRight" activeCell="D1" sqref="D1"/>
      <selection pane="bottomLeft" activeCell="A13" sqref="A13"/>
      <selection pane="bottomRight" activeCell="H11" sqref="H11"/>
    </sheetView>
  </sheetViews>
  <sheetFormatPr defaultColWidth="9.140625" defaultRowHeight="18.75" x14ac:dyDescent="0.3"/>
  <cols>
    <col min="1" max="1" width="11.42578125" style="1" customWidth="1"/>
    <col min="2" max="2" width="18.7109375" style="1" customWidth="1"/>
    <col min="3" max="3" width="82.140625" style="1" customWidth="1"/>
    <col min="4" max="4" width="22.5703125" style="1" customWidth="1"/>
    <col min="5" max="5" width="23.42578125" style="1" customWidth="1"/>
    <col min="6" max="16384" width="9.140625" style="1"/>
  </cols>
  <sheetData>
    <row r="1" spans="2:5" ht="26.25" customHeight="1" x14ac:dyDescent="0.3">
      <c r="D1" s="131" t="s">
        <v>5</v>
      </c>
      <c r="E1" s="131"/>
    </row>
    <row r="2" spans="2:5" ht="19.5" customHeight="1" x14ac:dyDescent="0.3">
      <c r="D2" s="131" t="s">
        <v>119</v>
      </c>
      <c r="E2" s="131"/>
    </row>
    <row r="3" spans="2:5" x14ac:dyDescent="0.3">
      <c r="D3" s="48"/>
      <c r="E3" s="48"/>
    </row>
    <row r="4" spans="2:5" ht="56.25" customHeight="1" x14ac:dyDescent="0.3">
      <c r="D4" s="34"/>
      <c r="E4" s="34"/>
    </row>
    <row r="5" spans="2:5" ht="27.75" customHeight="1" x14ac:dyDescent="0.3">
      <c r="B5" s="49" t="s">
        <v>223</v>
      </c>
      <c r="C5" s="49"/>
      <c r="D5" s="49"/>
      <c r="E5" s="49"/>
    </row>
    <row r="6" spans="2:5" ht="33" customHeight="1" x14ac:dyDescent="0.3">
      <c r="C6" s="55" t="s">
        <v>92</v>
      </c>
      <c r="D6" s="55"/>
    </row>
    <row r="7" spans="2:5" x14ac:dyDescent="0.3">
      <c r="C7" s="56" t="s">
        <v>3</v>
      </c>
      <c r="D7" s="56"/>
    </row>
    <row r="8" spans="2:5" ht="29.25" customHeight="1" x14ac:dyDescent="0.3">
      <c r="B8" s="50" t="s">
        <v>76</v>
      </c>
      <c r="C8" s="50"/>
      <c r="D8" s="50"/>
      <c r="E8" s="50"/>
    </row>
    <row r="9" spans="2:5" ht="20.25" x14ac:dyDescent="0.3">
      <c r="B9" s="35"/>
      <c r="C9" s="35"/>
      <c r="D9" s="35"/>
      <c r="E9" s="132" t="s">
        <v>289</v>
      </c>
    </row>
    <row r="10" spans="2:5" s="2" customFormat="1" x14ac:dyDescent="0.3">
      <c r="B10" s="51" t="s">
        <v>218</v>
      </c>
      <c r="C10" s="51" t="s">
        <v>219</v>
      </c>
      <c r="D10" s="51"/>
      <c r="E10" s="51" t="s">
        <v>68</v>
      </c>
    </row>
    <row r="11" spans="2:5" s="2" customFormat="1" x14ac:dyDescent="0.3">
      <c r="B11" s="51"/>
      <c r="C11" s="51"/>
      <c r="D11" s="51"/>
      <c r="E11" s="51"/>
    </row>
    <row r="12" spans="2:5" s="2" customFormat="1" ht="78.75" customHeight="1" x14ac:dyDescent="0.3">
      <c r="B12" s="51"/>
      <c r="C12" s="51"/>
      <c r="D12" s="51"/>
      <c r="E12" s="51"/>
    </row>
    <row r="13" spans="2:5" s="3" customFormat="1" ht="30.75" customHeight="1" x14ac:dyDescent="0.3">
      <c r="B13" s="36">
        <v>1</v>
      </c>
      <c r="C13" s="51">
        <v>2</v>
      </c>
      <c r="D13" s="51"/>
      <c r="E13" s="36">
        <v>3</v>
      </c>
    </row>
    <row r="14" spans="2:5" s="3" customFormat="1" ht="39.950000000000003" customHeight="1" x14ac:dyDescent="0.3">
      <c r="B14" s="52" t="s">
        <v>77</v>
      </c>
      <c r="C14" s="53"/>
      <c r="D14" s="53"/>
      <c r="E14" s="54"/>
    </row>
    <row r="15" spans="2:5" s="3" customFormat="1" ht="61.5" customHeight="1" x14ac:dyDescent="0.3">
      <c r="B15" s="31">
        <v>41020200</v>
      </c>
      <c r="C15" s="45" t="s">
        <v>240</v>
      </c>
      <c r="D15" s="45"/>
      <c r="E15" s="24">
        <f>E16</f>
        <v>186861500</v>
      </c>
    </row>
    <row r="16" spans="2:5" s="3" customFormat="1" ht="31.5" customHeight="1" x14ac:dyDescent="0.3">
      <c r="B16" s="29">
        <v>9900000000</v>
      </c>
      <c r="C16" s="43" t="s">
        <v>1</v>
      </c>
      <c r="D16" s="44"/>
      <c r="E16" s="23">
        <f>186861500</f>
        <v>186861500</v>
      </c>
    </row>
    <row r="17" spans="2:5" s="3" customFormat="1" ht="39" customHeight="1" x14ac:dyDescent="0.3">
      <c r="B17" s="31">
        <v>41020300</v>
      </c>
      <c r="C17" s="45" t="s">
        <v>230</v>
      </c>
      <c r="D17" s="45"/>
      <c r="E17" s="24">
        <f>E18</f>
        <v>26734200</v>
      </c>
    </row>
    <row r="18" spans="2:5" s="3" customFormat="1" ht="31.5" customHeight="1" x14ac:dyDescent="0.3">
      <c r="B18" s="29">
        <v>9900000000</v>
      </c>
      <c r="C18" s="43" t="s">
        <v>1</v>
      </c>
      <c r="D18" s="44"/>
      <c r="E18" s="23">
        <v>26734200</v>
      </c>
    </row>
    <row r="19" spans="2:5" s="3" customFormat="1" ht="43.5" customHeight="1" x14ac:dyDescent="0.3">
      <c r="B19" s="31">
        <v>41031100</v>
      </c>
      <c r="C19" s="45" t="s">
        <v>247</v>
      </c>
      <c r="D19" s="45"/>
      <c r="E19" s="24">
        <f>E20</f>
        <v>10470200</v>
      </c>
    </row>
    <row r="20" spans="2:5" s="3" customFormat="1" ht="33" customHeight="1" x14ac:dyDescent="0.3">
      <c r="B20" s="29">
        <v>9900000000</v>
      </c>
      <c r="C20" s="43" t="s">
        <v>1</v>
      </c>
      <c r="D20" s="44"/>
      <c r="E20" s="23">
        <f>10470200</f>
        <v>10470200</v>
      </c>
    </row>
    <row r="21" spans="2:5" s="3" customFormat="1" ht="43.5" customHeight="1" x14ac:dyDescent="0.3">
      <c r="B21" s="31">
        <v>41031900</v>
      </c>
      <c r="C21" s="45" t="s">
        <v>273</v>
      </c>
      <c r="D21" s="45"/>
      <c r="E21" s="24">
        <f>E22</f>
        <v>142455000</v>
      </c>
    </row>
    <row r="22" spans="2:5" s="3" customFormat="1" ht="33" customHeight="1" x14ac:dyDescent="0.3">
      <c r="B22" s="29">
        <v>9900000000</v>
      </c>
      <c r="C22" s="43" t="s">
        <v>1</v>
      </c>
      <c r="D22" s="44"/>
      <c r="E22" s="23">
        <f>142455000</f>
        <v>142455000</v>
      </c>
    </row>
    <row r="23" spans="2:5" s="3" customFormat="1" ht="78.75" customHeight="1" x14ac:dyDescent="0.3">
      <c r="B23" s="31">
        <v>41032300</v>
      </c>
      <c r="C23" s="45" t="s">
        <v>272</v>
      </c>
      <c r="D23" s="45"/>
      <c r="E23" s="24">
        <f>E24</f>
        <v>115517996</v>
      </c>
    </row>
    <row r="24" spans="2:5" s="3" customFormat="1" ht="33" customHeight="1" x14ac:dyDescent="0.3">
      <c r="B24" s="29">
        <v>9900000000</v>
      </c>
      <c r="C24" s="43" t="s">
        <v>1</v>
      </c>
      <c r="D24" s="44"/>
      <c r="E24" s="23">
        <f>115517996</f>
        <v>115517996</v>
      </c>
    </row>
    <row r="25" spans="2:5" s="3" customFormat="1" ht="45" customHeight="1" x14ac:dyDescent="0.3">
      <c r="B25" s="31">
        <v>41033000</v>
      </c>
      <c r="C25" s="45" t="s">
        <v>83</v>
      </c>
      <c r="D25" s="45"/>
      <c r="E25" s="24">
        <f>E26</f>
        <v>115961700</v>
      </c>
    </row>
    <row r="26" spans="2:5" s="3" customFormat="1" ht="33" customHeight="1" x14ac:dyDescent="0.3">
      <c r="B26" s="29">
        <v>9900000000</v>
      </c>
      <c r="C26" s="43" t="s">
        <v>1</v>
      </c>
      <c r="D26" s="44"/>
      <c r="E26" s="23">
        <f>121962600-6000900</f>
        <v>115961700</v>
      </c>
    </row>
    <row r="27" spans="2:5" s="3" customFormat="1" ht="98.25" customHeight="1" x14ac:dyDescent="0.3">
      <c r="B27" s="31">
        <v>41033600</v>
      </c>
      <c r="C27" s="45" t="s">
        <v>280</v>
      </c>
      <c r="D27" s="45"/>
      <c r="E27" s="24">
        <f>E28</f>
        <v>19800000</v>
      </c>
    </row>
    <row r="28" spans="2:5" s="3" customFormat="1" ht="33" customHeight="1" x14ac:dyDescent="0.3">
      <c r="B28" s="29">
        <v>9900000000</v>
      </c>
      <c r="C28" s="43" t="s">
        <v>1</v>
      </c>
      <c r="D28" s="44"/>
      <c r="E28" s="23">
        <f>19800000</f>
        <v>19800000</v>
      </c>
    </row>
    <row r="29" spans="2:5" s="3" customFormat="1" ht="33" customHeight="1" x14ac:dyDescent="0.3">
      <c r="B29" s="31">
        <v>41033900</v>
      </c>
      <c r="C29" s="45" t="s">
        <v>241</v>
      </c>
      <c r="D29" s="45"/>
      <c r="E29" s="24">
        <f>E30</f>
        <v>730606500</v>
      </c>
    </row>
    <row r="30" spans="2:5" s="3" customFormat="1" ht="33" customHeight="1" x14ac:dyDescent="0.3">
      <c r="B30" s="29">
        <v>9900000000</v>
      </c>
      <c r="C30" s="43" t="s">
        <v>1</v>
      </c>
      <c r="D30" s="44"/>
      <c r="E30" s="23">
        <f>729475100+1131400</f>
        <v>730606500</v>
      </c>
    </row>
    <row r="31" spans="2:5" s="3" customFormat="1" ht="94.5" customHeight="1" x14ac:dyDescent="0.3">
      <c r="B31" s="31">
        <v>41034400</v>
      </c>
      <c r="C31" s="46" t="s">
        <v>91</v>
      </c>
      <c r="D31" s="47"/>
      <c r="E31" s="24">
        <f>E32</f>
        <v>9574500</v>
      </c>
    </row>
    <row r="32" spans="2:5" s="3" customFormat="1" ht="33" customHeight="1" x14ac:dyDescent="0.3">
      <c r="B32" s="29">
        <v>9900000000</v>
      </c>
      <c r="C32" s="43" t="s">
        <v>1</v>
      </c>
      <c r="D32" s="44"/>
      <c r="E32" s="23">
        <f>9574500</f>
        <v>9574500</v>
      </c>
    </row>
    <row r="33" spans="2:5" s="3" customFormat="1" ht="80.25" customHeight="1" x14ac:dyDescent="0.3">
      <c r="B33" s="31">
        <v>41035800</v>
      </c>
      <c r="C33" s="46" t="s">
        <v>253</v>
      </c>
      <c r="D33" s="47"/>
      <c r="E33" s="24">
        <f>E34</f>
        <v>63091810</v>
      </c>
    </row>
    <row r="34" spans="2:5" s="3" customFormat="1" ht="33" customHeight="1" x14ac:dyDescent="0.3">
      <c r="B34" s="29">
        <v>9900000000</v>
      </c>
      <c r="C34" s="43" t="s">
        <v>1</v>
      </c>
      <c r="D34" s="44"/>
      <c r="E34" s="23">
        <f>62890400+201410</f>
        <v>63091810</v>
      </c>
    </row>
    <row r="35" spans="2:5" s="3" customFormat="1" ht="63.75" customHeight="1" x14ac:dyDescent="0.3">
      <c r="B35" s="31">
        <v>41036000</v>
      </c>
      <c r="C35" s="45" t="s">
        <v>274</v>
      </c>
      <c r="D35" s="45"/>
      <c r="E35" s="24">
        <f>E36</f>
        <v>43056200</v>
      </c>
    </row>
    <row r="36" spans="2:5" s="3" customFormat="1" ht="33" customHeight="1" x14ac:dyDescent="0.3">
      <c r="B36" s="29">
        <v>9900000000</v>
      </c>
      <c r="C36" s="43" t="s">
        <v>1</v>
      </c>
      <c r="D36" s="44"/>
      <c r="E36" s="23">
        <f>43056200</f>
        <v>43056200</v>
      </c>
    </row>
    <row r="37" spans="2:5" s="3" customFormat="1" ht="42.75" customHeight="1" x14ac:dyDescent="0.3">
      <c r="B37" s="31">
        <v>41036300</v>
      </c>
      <c r="C37" s="45" t="s">
        <v>248</v>
      </c>
      <c r="D37" s="45"/>
      <c r="E37" s="24">
        <f>E38</f>
        <v>42587500</v>
      </c>
    </row>
    <row r="38" spans="2:5" s="3" customFormat="1" ht="33" customHeight="1" x14ac:dyDescent="0.3">
      <c r="B38" s="29">
        <v>9900000000</v>
      </c>
      <c r="C38" s="43" t="s">
        <v>1</v>
      </c>
      <c r="D38" s="44"/>
      <c r="E38" s="23">
        <f>42587500</f>
        <v>42587500</v>
      </c>
    </row>
    <row r="39" spans="2:5" s="3" customFormat="1" ht="33" customHeight="1" x14ac:dyDescent="0.3">
      <c r="B39" s="31">
        <v>41053900</v>
      </c>
      <c r="C39" s="46" t="s">
        <v>93</v>
      </c>
      <c r="D39" s="47"/>
      <c r="E39" s="24">
        <f>E41+E43+E68+E140+E215+E66+E64+E217+E219</f>
        <v>303608452</v>
      </c>
    </row>
    <row r="40" spans="2:5" s="3" customFormat="1" ht="33" customHeight="1" x14ac:dyDescent="0.3">
      <c r="B40" s="29"/>
      <c r="C40" s="43" t="s">
        <v>94</v>
      </c>
      <c r="D40" s="44"/>
      <c r="E40" s="23"/>
    </row>
    <row r="41" spans="2:5" s="3" customFormat="1" ht="33.75" customHeight="1" x14ac:dyDescent="0.3">
      <c r="B41" s="29"/>
      <c r="C41" s="46" t="s">
        <v>101</v>
      </c>
      <c r="D41" s="47"/>
      <c r="E41" s="24">
        <f>E42</f>
        <v>9000000</v>
      </c>
    </row>
    <row r="42" spans="2:5" s="3" customFormat="1" ht="33.75" customHeight="1" x14ac:dyDescent="0.3">
      <c r="B42" s="30" t="s">
        <v>102</v>
      </c>
      <c r="C42" s="43" t="s">
        <v>18</v>
      </c>
      <c r="D42" s="44"/>
      <c r="E42" s="23">
        <f>9000000</f>
        <v>9000000</v>
      </c>
    </row>
    <row r="43" spans="2:5" s="3" customFormat="1" ht="33.75" customHeight="1" x14ac:dyDescent="0.3">
      <c r="B43" s="30"/>
      <c r="C43" s="45" t="s">
        <v>225</v>
      </c>
      <c r="D43" s="45"/>
      <c r="E43" s="24">
        <f>SUM(E44:E63)</f>
        <v>1394000</v>
      </c>
    </row>
    <row r="44" spans="2:5" s="3" customFormat="1" ht="33.75" customHeight="1" x14ac:dyDescent="0.3">
      <c r="B44" s="11">
        <v>456100000</v>
      </c>
      <c r="C44" s="40" t="s">
        <v>28</v>
      </c>
      <c r="D44" s="40"/>
      <c r="E44" s="23">
        <f>55000</f>
        <v>55000</v>
      </c>
    </row>
    <row r="45" spans="2:5" s="3" customFormat="1" ht="33.75" customHeight="1" x14ac:dyDescent="0.3">
      <c r="B45" s="11">
        <v>458100000</v>
      </c>
      <c r="C45" s="40" t="s">
        <v>20</v>
      </c>
      <c r="D45" s="40"/>
      <c r="E45" s="23">
        <f>500000</f>
        <v>500000</v>
      </c>
    </row>
    <row r="46" spans="2:5" s="3" customFormat="1" ht="33.950000000000003" customHeight="1" x14ac:dyDescent="0.3">
      <c r="B46" s="25" t="s">
        <v>160</v>
      </c>
      <c r="C46" s="43" t="s">
        <v>31</v>
      </c>
      <c r="D46" s="44"/>
      <c r="E46" s="23">
        <f>100000</f>
        <v>100000</v>
      </c>
    </row>
    <row r="47" spans="2:5" s="3" customFormat="1" ht="33.75" customHeight="1" x14ac:dyDescent="0.3">
      <c r="B47" s="25" t="s">
        <v>162</v>
      </c>
      <c r="C47" s="43" t="s">
        <v>233</v>
      </c>
      <c r="D47" s="44"/>
      <c r="E47" s="23">
        <f>40000</f>
        <v>40000</v>
      </c>
    </row>
    <row r="48" spans="2:5" s="3" customFormat="1" ht="33.950000000000003" customHeight="1" x14ac:dyDescent="0.3">
      <c r="B48" s="25" t="s">
        <v>161</v>
      </c>
      <c r="C48" s="43" t="s">
        <v>32</v>
      </c>
      <c r="D48" s="44"/>
      <c r="E48" s="23">
        <f>50000</f>
        <v>50000</v>
      </c>
    </row>
    <row r="49" spans="2:5" s="3" customFormat="1" ht="33.75" customHeight="1" x14ac:dyDescent="0.3">
      <c r="B49" s="25" t="s">
        <v>133</v>
      </c>
      <c r="C49" s="43" t="s">
        <v>131</v>
      </c>
      <c r="D49" s="44"/>
      <c r="E49" s="23">
        <f>30000</f>
        <v>30000</v>
      </c>
    </row>
    <row r="50" spans="2:5" s="3" customFormat="1" ht="33.75" customHeight="1" x14ac:dyDescent="0.3">
      <c r="B50" s="30" t="s">
        <v>135</v>
      </c>
      <c r="C50" s="43" t="s">
        <v>42</v>
      </c>
      <c r="D50" s="44"/>
      <c r="E50" s="23">
        <f>30000</f>
        <v>30000</v>
      </c>
    </row>
    <row r="51" spans="2:5" s="3" customFormat="1" ht="33.950000000000003" customHeight="1" x14ac:dyDescent="0.3">
      <c r="B51" s="30" t="s">
        <v>136</v>
      </c>
      <c r="C51" s="43" t="s">
        <v>7</v>
      </c>
      <c r="D51" s="44"/>
      <c r="E51" s="23">
        <f>36000</f>
        <v>36000</v>
      </c>
    </row>
    <row r="52" spans="2:5" s="3" customFormat="1" ht="33.75" customHeight="1" x14ac:dyDescent="0.3">
      <c r="B52" s="30" t="s">
        <v>137</v>
      </c>
      <c r="C52" s="43" t="s">
        <v>50</v>
      </c>
      <c r="D52" s="44"/>
      <c r="E52" s="23">
        <f>34000</f>
        <v>34000</v>
      </c>
    </row>
    <row r="53" spans="2:5" s="3" customFormat="1" ht="33.75" customHeight="1" x14ac:dyDescent="0.3">
      <c r="B53" s="30" t="s">
        <v>138</v>
      </c>
      <c r="C53" s="43" t="s">
        <v>62</v>
      </c>
      <c r="D53" s="44"/>
      <c r="E53" s="23">
        <f>33000+1000</f>
        <v>34000</v>
      </c>
    </row>
    <row r="54" spans="2:5" s="3" customFormat="1" ht="33.75" customHeight="1" x14ac:dyDescent="0.3">
      <c r="B54" s="30" t="s">
        <v>166</v>
      </c>
      <c r="C54" s="43" t="s">
        <v>6</v>
      </c>
      <c r="D54" s="44"/>
      <c r="E54" s="23">
        <f>40000</f>
        <v>40000</v>
      </c>
    </row>
    <row r="55" spans="2:5" s="3" customFormat="1" ht="33.75" customHeight="1" x14ac:dyDescent="0.3">
      <c r="B55" s="30" t="s">
        <v>139</v>
      </c>
      <c r="C55" s="43" t="s">
        <v>140</v>
      </c>
      <c r="D55" s="44"/>
      <c r="E55" s="23">
        <f>3000</f>
        <v>3000</v>
      </c>
    </row>
    <row r="56" spans="2:5" s="3" customFormat="1" ht="33.75" customHeight="1" x14ac:dyDescent="0.3">
      <c r="B56" s="30" t="s">
        <v>141</v>
      </c>
      <c r="C56" s="43" t="s">
        <v>34</v>
      </c>
      <c r="D56" s="44"/>
      <c r="E56" s="23">
        <f>34000</f>
        <v>34000</v>
      </c>
    </row>
    <row r="57" spans="2:5" s="3" customFormat="1" ht="33.950000000000003" customHeight="1" x14ac:dyDescent="0.3">
      <c r="B57" s="30" t="s">
        <v>143</v>
      </c>
      <c r="C57" s="43" t="s">
        <v>63</v>
      </c>
      <c r="D57" s="44"/>
      <c r="E57" s="23">
        <f>30000</f>
        <v>30000</v>
      </c>
    </row>
    <row r="58" spans="2:5" s="3" customFormat="1" ht="33.950000000000003" customHeight="1" x14ac:dyDescent="0.3">
      <c r="B58" s="25" t="s">
        <v>181</v>
      </c>
      <c r="C58" s="41" t="s">
        <v>132</v>
      </c>
      <c r="D58" s="42"/>
      <c r="E58" s="23">
        <f>34000</f>
        <v>34000</v>
      </c>
    </row>
    <row r="59" spans="2:5" s="3" customFormat="1" ht="33.75" customHeight="1" x14ac:dyDescent="0.3">
      <c r="B59" s="25" t="s">
        <v>145</v>
      </c>
      <c r="C59" s="41" t="s">
        <v>21</v>
      </c>
      <c r="D59" s="42"/>
      <c r="E59" s="23">
        <f>42000</f>
        <v>42000</v>
      </c>
    </row>
    <row r="60" spans="2:5" s="3" customFormat="1" ht="33.75" customHeight="1" x14ac:dyDescent="0.3">
      <c r="B60" s="30" t="s">
        <v>275</v>
      </c>
      <c r="C60" s="40" t="s">
        <v>24</v>
      </c>
      <c r="D60" s="40"/>
      <c r="E60" s="23">
        <f>100000</f>
        <v>100000</v>
      </c>
    </row>
    <row r="61" spans="2:5" s="3" customFormat="1" ht="33.75" customHeight="1" x14ac:dyDescent="0.3">
      <c r="B61" s="25" t="s">
        <v>189</v>
      </c>
      <c r="C61" s="41" t="s">
        <v>25</v>
      </c>
      <c r="D61" s="42"/>
      <c r="E61" s="23">
        <f>52000</f>
        <v>52000</v>
      </c>
    </row>
    <row r="62" spans="2:5" s="3" customFormat="1" ht="33.950000000000003" customHeight="1" x14ac:dyDescent="0.3">
      <c r="B62" s="25" t="s">
        <v>191</v>
      </c>
      <c r="C62" s="41" t="s">
        <v>61</v>
      </c>
      <c r="D62" s="42"/>
      <c r="E62" s="23">
        <f>30000</f>
        <v>30000</v>
      </c>
    </row>
    <row r="63" spans="2:5" s="3" customFormat="1" ht="33.950000000000003" customHeight="1" x14ac:dyDescent="0.3">
      <c r="B63" s="25" t="s">
        <v>148</v>
      </c>
      <c r="C63" s="41" t="s">
        <v>55</v>
      </c>
      <c r="D63" s="42"/>
      <c r="E63" s="23">
        <f>120000</f>
        <v>120000</v>
      </c>
    </row>
    <row r="64" spans="2:5" s="3" customFormat="1" ht="43.5" customHeight="1" x14ac:dyDescent="0.3">
      <c r="B64" s="30"/>
      <c r="C64" s="46" t="s">
        <v>276</v>
      </c>
      <c r="D64" s="47"/>
      <c r="E64" s="24">
        <f>E65</f>
        <v>65232</v>
      </c>
    </row>
    <row r="65" spans="2:5" s="3" customFormat="1" ht="33.75" customHeight="1" x14ac:dyDescent="0.3">
      <c r="B65" s="30" t="s">
        <v>102</v>
      </c>
      <c r="C65" s="43" t="s">
        <v>18</v>
      </c>
      <c r="D65" s="44"/>
      <c r="E65" s="23">
        <f>65232</f>
        <v>65232</v>
      </c>
    </row>
    <row r="66" spans="2:5" s="3" customFormat="1" ht="33.75" customHeight="1" x14ac:dyDescent="0.3">
      <c r="B66" s="28"/>
      <c r="C66" s="46" t="s">
        <v>270</v>
      </c>
      <c r="D66" s="47"/>
      <c r="E66" s="24">
        <f>E67</f>
        <v>1000000</v>
      </c>
    </row>
    <row r="67" spans="2:5" s="3" customFormat="1" ht="33.75" customHeight="1" x14ac:dyDescent="0.3">
      <c r="B67" s="25" t="s">
        <v>249</v>
      </c>
      <c r="C67" s="41" t="s">
        <v>100</v>
      </c>
      <c r="D67" s="42"/>
      <c r="E67" s="23">
        <v>1000000</v>
      </c>
    </row>
    <row r="68" spans="2:5" s="3" customFormat="1" ht="63" customHeight="1" x14ac:dyDescent="0.3">
      <c r="B68" s="29"/>
      <c r="C68" s="46" t="s">
        <v>267</v>
      </c>
      <c r="D68" s="47"/>
      <c r="E68" s="24">
        <f>SUM(E69:E139)</f>
        <v>5606200</v>
      </c>
    </row>
    <row r="69" spans="2:5" s="3" customFormat="1" ht="33.950000000000003" customHeight="1" x14ac:dyDescent="0.3">
      <c r="B69" s="30" t="s">
        <v>152</v>
      </c>
      <c r="C69" s="43" t="s">
        <v>14</v>
      </c>
      <c r="D69" s="44"/>
      <c r="E69" s="23">
        <f>70100</f>
        <v>70100</v>
      </c>
    </row>
    <row r="70" spans="2:5" s="3" customFormat="1" ht="33.75" customHeight="1" x14ac:dyDescent="0.3">
      <c r="B70" s="30" t="s">
        <v>153</v>
      </c>
      <c r="C70" s="41" t="s">
        <v>17</v>
      </c>
      <c r="D70" s="42"/>
      <c r="E70" s="23">
        <f>130500</f>
        <v>130500</v>
      </c>
    </row>
    <row r="71" spans="2:5" s="3" customFormat="1" ht="33.75" customHeight="1" x14ac:dyDescent="0.3">
      <c r="B71" s="30" t="s">
        <v>249</v>
      </c>
      <c r="C71" s="41" t="s">
        <v>100</v>
      </c>
      <c r="D71" s="42"/>
      <c r="E71" s="23">
        <f>701100</f>
        <v>701100</v>
      </c>
    </row>
    <row r="72" spans="2:5" s="3" customFormat="1" ht="33.75" customHeight="1" x14ac:dyDescent="0.3">
      <c r="B72" s="30" t="s">
        <v>102</v>
      </c>
      <c r="C72" s="43" t="s">
        <v>18</v>
      </c>
      <c r="D72" s="44"/>
      <c r="E72" s="23">
        <f>1819800</f>
        <v>1819800</v>
      </c>
    </row>
    <row r="73" spans="2:5" s="3" customFormat="1" ht="37.5" customHeight="1" x14ac:dyDescent="0.3">
      <c r="B73" s="25" t="s">
        <v>155</v>
      </c>
      <c r="C73" s="41" t="s">
        <v>22</v>
      </c>
      <c r="D73" s="42"/>
      <c r="E73" s="23">
        <f>304300</f>
        <v>304300</v>
      </c>
    </row>
    <row r="74" spans="2:5" s="3" customFormat="1" ht="33.75" customHeight="1" x14ac:dyDescent="0.3">
      <c r="B74" s="25" t="s">
        <v>156</v>
      </c>
      <c r="C74" s="43" t="s">
        <v>29</v>
      </c>
      <c r="D74" s="44"/>
      <c r="E74" s="23">
        <f>130000</f>
        <v>130000</v>
      </c>
    </row>
    <row r="75" spans="2:5" s="3" customFormat="1" ht="33.75" customHeight="1" x14ac:dyDescent="0.3">
      <c r="B75" s="30" t="s">
        <v>154</v>
      </c>
      <c r="C75" s="43" t="s">
        <v>234</v>
      </c>
      <c r="D75" s="44"/>
      <c r="E75" s="23">
        <v>209600</v>
      </c>
    </row>
    <row r="76" spans="2:5" s="3" customFormat="1" ht="37.5" customHeight="1" x14ac:dyDescent="0.3">
      <c r="B76" s="25" t="s">
        <v>157</v>
      </c>
      <c r="C76" s="43" t="s">
        <v>26</v>
      </c>
      <c r="D76" s="44"/>
      <c r="E76" s="23">
        <f>89000</f>
        <v>89000</v>
      </c>
    </row>
    <row r="77" spans="2:5" s="3" customFormat="1" ht="37.5" customHeight="1" x14ac:dyDescent="0.3">
      <c r="B77" s="25" t="s">
        <v>158</v>
      </c>
      <c r="C77" s="43" t="s">
        <v>27</v>
      </c>
      <c r="D77" s="44"/>
      <c r="E77" s="23">
        <f>80900</f>
        <v>80900</v>
      </c>
    </row>
    <row r="78" spans="2:5" s="3" customFormat="1" ht="37.5" customHeight="1" x14ac:dyDescent="0.3">
      <c r="B78" s="30" t="s">
        <v>259</v>
      </c>
      <c r="C78" s="43" t="s">
        <v>238</v>
      </c>
      <c r="D78" s="44"/>
      <c r="E78" s="23">
        <f>90000</f>
        <v>90000</v>
      </c>
    </row>
    <row r="79" spans="2:5" s="3" customFormat="1" ht="33.75" customHeight="1" x14ac:dyDescent="0.3">
      <c r="B79" s="30" t="s">
        <v>159</v>
      </c>
      <c r="C79" s="43" t="s">
        <v>30</v>
      </c>
      <c r="D79" s="44"/>
      <c r="E79" s="23">
        <f>65500</f>
        <v>65500</v>
      </c>
    </row>
    <row r="80" spans="2:5" s="3" customFormat="1" ht="33.950000000000003" customHeight="1" x14ac:dyDescent="0.3">
      <c r="B80" s="25" t="s">
        <v>160</v>
      </c>
      <c r="C80" s="43" t="s">
        <v>31</v>
      </c>
      <c r="D80" s="44"/>
      <c r="E80" s="23">
        <f>28700</f>
        <v>28700</v>
      </c>
    </row>
    <row r="81" spans="2:5" s="3" customFormat="1" ht="33.950000000000003" customHeight="1" x14ac:dyDescent="0.3">
      <c r="B81" s="25" t="s">
        <v>161</v>
      </c>
      <c r="C81" s="43" t="s">
        <v>32</v>
      </c>
      <c r="D81" s="44"/>
      <c r="E81" s="23">
        <v>31300</v>
      </c>
    </row>
    <row r="82" spans="2:5" s="3" customFormat="1" ht="33.75" customHeight="1" x14ac:dyDescent="0.3">
      <c r="B82" s="25" t="s">
        <v>162</v>
      </c>
      <c r="C82" s="43" t="s">
        <v>233</v>
      </c>
      <c r="D82" s="44"/>
      <c r="E82" s="23">
        <f>11400</f>
        <v>11400</v>
      </c>
    </row>
    <row r="83" spans="2:5" s="3" customFormat="1" ht="33.75" customHeight="1" x14ac:dyDescent="0.3">
      <c r="B83" s="25" t="s">
        <v>133</v>
      </c>
      <c r="C83" s="43" t="s">
        <v>131</v>
      </c>
      <c r="D83" s="44"/>
      <c r="E83" s="23">
        <f>8300</f>
        <v>8300</v>
      </c>
    </row>
    <row r="84" spans="2:5" s="3" customFormat="1" ht="33.75" customHeight="1" x14ac:dyDescent="0.3">
      <c r="B84" s="25" t="s">
        <v>163</v>
      </c>
      <c r="C84" s="43" t="s">
        <v>41</v>
      </c>
      <c r="D84" s="44"/>
      <c r="E84" s="23">
        <f>64700</f>
        <v>64700</v>
      </c>
    </row>
    <row r="85" spans="2:5" s="3" customFormat="1" ht="33.950000000000003" customHeight="1" x14ac:dyDescent="0.3">
      <c r="B85" s="30" t="s">
        <v>134</v>
      </c>
      <c r="C85" s="43" t="s">
        <v>33</v>
      </c>
      <c r="D85" s="44"/>
      <c r="E85" s="23">
        <f>23800</f>
        <v>23800</v>
      </c>
    </row>
    <row r="86" spans="2:5" s="3" customFormat="1" ht="33.75" customHeight="1" x14ac:dyDescent="0.3">
      <c r="B86" s="30" t="s">
        <v>164</v>
      </c>
      <c r="C86" s="43" t="s">
        <v>269</v>
      </c>
      <c r="D86" s="44"/>
      <c r="E86" s="23">
        <f>36000</f>
        <v>36000</v>
      </c>
    </row>
    <row r="87" spans="2:5" s="3" customFormat="1" ht="33.75" customHeight="1" x14ac:dyDescent="0.3">
      <c r="B87" s="30" t="s">
        <v>95</v>
      </c>
      <c r="C87" s="43" t="s">
        <v>52</v>
      </c>
      <c r="D87" s="44"/>
      <c r="E87" s="23">
        <f>110700</f>
        <v>110700</v>
      </c>
    </row>
    <row r="88" spans="2:5" s="3" customFormat="1" ht="33.75" customHeight="1" x14ac:dyDescent="0.3">
      <c r="B88" s="30" t="s">
        <v>135</v>
      </c>
      <c r="C88" s="43" t="s">
        <v>42</v>
      </c>
      <c r="D88" s="44"/>
      <c r="E88" s="23">
        <f>13100</f>
        <v>13100</v>
      </c>
    </row>
    <row r="89" spans="2:5" s="3" customFormat="1" ht="33.950000000000003" customHeight="1" x14ac:dyDescent="0.3">
      <c r="B89" s="30" t="s">
        <v>136</v>
      </c>
      <c r="C89" s="43" t="s">
        <v>7</v>
      </c>
      <c r="D89" s="44"/>
      <c r="E89" s="23">
        <f>22500</f>
        <v>22500</v>
      </c>
    </row>
    <row r="90" spans="2:5" s="3" customFormat="1" ht="33.950000000000003" customHeight="1" x14ac:dyDescent="0.3">
      <c r="B90" s="30" t="s">
        <v>137</v>
      </c>
      <c r="C90" s="43" t="s">
        <v>50</v>
      </c>
      <c r="D90" s="44"/>
      <c r="E90" s="23">
        <f>14480</f>
        <v>14480</v>
      </c>
    </row>
    <row r="91" spans="2:5" s="3" customFormat="1" ht="33.75" customHeight="1" x14ac:dyDescent="0.3">
      <c r="B91" s="30" t="s">
        <v>165</v>
      </c>
      <c r="C91" s="43" t="s">
        <v>15</v>
      </c>
      <c r="D91" s="44"/>
      <c r="E91" s="23">
        <f>53700</f>
        <v>53700</v>
      </c>
    </row>
    <row r="92" spans="2:5" s="3" customFormat="1" ht="33.950000000000003" customHeight="1" x14ac:dyDescent="0.3">
      <c r="B92" s="30" t="s">
        <v>138</v>
      </c>
      <c r="C92" s="43" t="s">
        <v>62</v>
      </c>
      <c r="D92" s="44"/>
      <c r="E92" s="23">
        <f>15400</f>
        <v>15400</v>
      </c>
    </row>
    <row r="93" spans="2:5" s="3" customFormat="1" ht="33.75" customHeight="1" x14ac:dyDescent="0.3">
      <c r="B93" s="30" t="s">
        <v>166</v>
      </c>
      <c r="C93" s="43" t="s">
        <v>6</v>
      </c>
      <c r="D93" s="44"/>
      <c r="E93" s="23">
        <f>25600</f>
        <v>25600</v>
      </c>
    </row>
    <row r="94" spans="2:5" s="3" customFormat="1" ht="33.75" customHeight="1" x14ac:dyDescent="0.3">
      <c r="B94" s="30" t="s">
        <v>139</v>
      </c>
      <c r="C94" s="43" t="s">
        <v>140</v>
      </c>
      <c r="D94" s="44"/>
      <c r="E94" s="23">
        <f>13000-3000</f>
        <v>10000</v>
      </c>
    </row>
    <row r="95" spans="2:5" s="3" customFormat="1" ht="33.950000000000003" customHeight="1" x14ac:dyDescent="0.3">
      <c r="B95" s="30" t="s">
        <v>167</v>
      </c>
      <c r="C95" s="43" t="s">
        <v>8</v>
      </c>
      <c r="D95" s="44"/>
      <c r="E95" s="23">
        <f>11400</f>
        <v>11400</v>
      </c>
    </row>
    <row r="96" spans="2:5" s="3" customFormat="1" ht="33.950000000000003" customHeight="1" x14ac:dyDescent="0.3">
      <c r="B96" s="30" t="s">
        <v>142</v>
      </c>
      <c r="C96" s="43" t="s">
        <v>58</v>
      </c>
      <c r="D96" s="44"/>
      <c r="E96" s="23">
        <f>15800</f>
        <v>15800</v>
      </c>
    </row>
    <row r="97" spans="2:5" s="3" customFormat="1" ht="33.950000000000003" customHeight="1" x14ac:dyDescent="0.3">
      <c r="B97" s="30" t="s">
        <v>169</v>
      </c>
      <c r="C97" s="43" t="s">
        <v>170</v>
      </c>
      <c r="D97" s="44"/>
      <c r="E97" s="23">
        <f>9500</f>
        <v>9500</v>
      </c>
    </row>
    <row r="98" spans="2:5" s="3" customFormat="1" ht="33.950000000000003" customHeight="1" x14ac:dyDescent="0.3">
      <c r="B98" s="30" t="s">
        <v>171</v>
      </c>
      <c r="C98" s="43" t="s">
        <v>43</v>
      </c>
      <c r="D98" s="44"/>
      <c r="E98" s="23">
        <f>56100</f>
        <v>56100</v>
      </c>
    </row>
    <row r="99" spans="2:5" s="3" customFormat="1" ht="33.950000000000003" customHeight="1" x14ac:dyDescent="0.3">
      <c r="B99" s="30" t="s">
        <v>150</v>
      </c>
      <c r="C99" s="43" t="s">
        <v>151</v>
      </c>
      <c r="D99" s="44"/>
      <c r="E99" s="23">
        <f>14100</f>
        <v>14100</v>
      </c>
    </row>
    <row r="100" spans="2:5" s="3" customFormat="1" ht="33.950000000000003" customHeight="1" x14ac:dyDescent="0.3">
      <c r="B100" s="30" t="s">
        <v>143</v>
      </c>
      <c r="C100" s="43" t="s">
        <v>63</v>
      </c>
      <c r="D100" s="44"/>
      <c r="E100" s="23">
        <f>15000</f>
        <v>15000</v>
      </c>
    </row>
    <row r="101" spans="2:5" s="3" customFormat="1" ht="33.950000000000003" customHeight="1" x14ac:dyDescent="0.3">
      <c r="B101" s="30" t="s">
        <v>144</v>
      </c>
      <c r="C101" s="43" t="s">
        <v>19</v>
      </c>
      <c r="D101" s="44"/>
      <c r="E101" s="23">
        <f>55400</f>
        <v>55400</v>
      </c>
    </row>
    <row r="102" spans="2:5" s="3" customFormat="1" ht="33.950000000000003" customHeight="1" x14ac:dyDescent="0.3">
      <c r="B102" s="30" t="s">
        <v>172</v>
      </c>
      <c r="C102" s="43" t="s">
        <v>60</v>
      </c>
      <c r="D102" s="44"/>
      <c r="E102" s="23">
        <f>10700</f>
        <v>10700</v>
      </c>
    </row>
    <row r="103" spans="2:5" s="3" customFormat="1" ht="33.75" customHeight="1" x14ac:dyDescent="0.3">
      <c r="B103" s="25" t="s">
        <v>173</v>
      </c>
      <c r="C103" s="41" t="s">
        <v>174</v>
      </c>
      <c r="D103" s="42"/>
      <c r="E103" s="23">
        <f>6100</f>
        <v>6100</v>
      </c>
    </row>
    <row r="104" spans="2:5" s="3" customFormat="1" ht="33.75" customHeight="1" x14ac:dyDescent="0.3">
      <c r="B104" s="25" t="s">
        <v>175</v>
      </c>
      <c r="C104" s="41" t="s">
        <v>9</v>
      </c>
      <c r="D104" s="42"/>
      <c r="E104" s="23">
        <f>63500</f>
        <v>63500</v>
      </c>
    </row>
    <row r="105" spans="2:5" s="3" customFormat="1" ht="33.75" customHeight="1" x14ac:dyDescent="0.3">
      <c r="B105" s="25" t="s">
        <v>176</v>
      </c>
      <c r="C105" s="41" t="s">
        <v>66</v>
      </c>
      <c r="D105" s="42"/>
      <c r="E105" s="23">
        <f>20000</f>
        <v>20000</v>
      </c>
    </row>
    <row r="106" spans="2:5" s="3" customFormat="1" ht="33.75" customHeight="1" x14ac:dyDescent="0.3">
      <c r="B106" s="25" t="s">
        <v>260</v>
      </c>
      <c r="C106" s="41" t="s">
        <v>80</v>
      </c>
      <c r="D106" s="42"/>
      <c r="E106" s="23">
        <f>19600</f>
        <v>19600</v>
      </c>
    </row>
    <row r="107" spans="2:5" s="3" customFormat="1" ht="33.75" customHeight="1" x14ac:dyDescent="0.3">
      <c r="B107" s="25" t="s">
        <v>177</v>
      </c>
      <c r="C107" s="41" t="s">
        <v>79</v>
      </c>
      <c r="D107" s="42"/>
      <c r="E107" s="23">
        <f>28600</f>
        <v>28600</v>
      </c>
    </row>
    <row r="108" spans="2:5" s="3" customFormat="1" ht="33.950000000000003" customHeight="1" x14ac:dyDescent="0.3">
      <c r="B108" s="25" t="s">
        <v>178</v>
      </c>
      <c r="C108" s="41" t="s">
        <v>36</v>
      </c>
      <c r="D108" s="42"/>
      <c r="E108" s="23">
        <f>17700</f>
        <v>17700</v>
      </c>
    </row>
    <row r="109" spans="2:5" s="3" customFormat="1" ht="33.75" customHeight="1" x14ac:dyDescent="0.3">
      <c r="B109" s="25" t="s">
        <v>185</v>
      </c>
      <c r="C109" s="41" t="s">
        <v>236</v>
      </c>
      <c r="D109" s="42"/>
      <c r="E109" s="23">
        <f>36300</f>
        <v>36300</v>
      </c>
    </row>
    <row r="110" spans="2:5" s="3" customFormat="1" ht="33.950000000000003" customHeight="1" x14ac:dyDescent="0.3">
      <c r="B110" s="25" t="s">
        <v>179</v>
      </c>
      <c r="C110" s="41" t="s">
        <v>180</v>
      </c>
      <c r="D110" s="42"/>
      <c r="E110" s="23">
        <f>13600</f>
        <v>13600</v>
      </c>
    </row>
    <row r="111" spans="2:5" s="3" customFormat="1" ht="33.950000000000003" customHeight="1" x14ac:dyDescent="0.3">
      <c r="B111" s="25" t="s">
        <v>181</v>
      </c>
      <c r="C111" s="41" t="s">
        <v>132</v>
      </c>
      <c r="D111" s="42"/>
      <c r="E111" s="23">
        <f>7400</f>
        <v>7400</v>
      </c>
    </row>
    <row r="112" spans="2:5" s="3" customFormat="1" ht="33.75" customHeight="1" x14ac:dyDescent="0.3">
      <c r="B112" s="25" t="s">
        <v>146</v>
      </c>
      <c r="C112" s="41" t="s">
        <v>67</v>
      </c>
      <c r="D112" s="42"/>
      <c r="E112" s="23">
        <f>31500</f>
        <v>31500</v>
      </c>
    </row>
    <row r="113" spans="2:5" s="3" customFormat="1" ht="33.75" customHeight="1" x14ac:dyDescent="0.3">
      <c r="B113" s="25" t="s">
        <v>145</v>
      </c>
      <c r="C113" s="41" t="s">
        <v>21</v>
      </c>
      <c r="D113" s="42"/>
      <c r="E113" s="23">
        <f>50000</f>
        <v>50000</v>
      </c>
    </row>
    <row r="114" spans="2:5" s="3" customFormat="1" ht="33.75" customHeight="1" x14ac:dyDescent="0.3">
      <c r="B114" s="25" t="s">
        <v>182</v>
      </c>
      <c r="C114" s="41" t="s">
        <v>37</v>
      </c>
      <c r="D114" s="42"/>
      <c r="E114" s="23">
        <f>23100</f>
        <v>23100</v>
      </c>
    </row>
    <row r="115" spans="2:5" s="3" customFormat="1" ht="33.75" customHeight="1" x14ac:dyDescent="0.3">
      <c r="B115" s="25" t="s">
        <v>183</v>
      </c>
      <c r="C115" s="41" t="s">
        <v>10</v>
      </c>
      <c r="D115" s="42"/>
      <c r="E115" s="23">
        <f>35100</f>
        <v>35100</v>
      </c>
    </row>
    <row r="116" spans="2:5" s="3" customFormat="1" ht="33.950000000000003" customHeight="1" x14ac:dyDescent="0.3">
      <c r="B116" s="25" t="s">
        <v>184</v>
      </c>
      <c r="C116" s="41" t="s">
        <v>64</v>
      </c>
      <c r="D116" s="42"/>
      <c r="E116" s="23">
        <f>62000</f>
        <v>62000</v>
      </c>
    </row>
    <row r="117" spans="2:5" s="3" customFormat="1" ht="33.75" customHeight="1" x14ac:dyDescent="0.3">
      <c r="B117" s="25" t="s">
        <v>186</v>
      </c>
      <c r="C117" s="41" t="s">
        <v>56</v>
      </c>
      <c r="D117" s="42"/>
      <c r="E117" s="23">
        <f>70000</f>
        <v>70000</v>
      </c>
    </row>
    <row r="118" spans="2:5" s="3" customFormat="1" ht="33.950000000000003" customHeight="1" x14ac:dyDescent="0.3">
      <c r="B118" s="25" t="s">
        <v>187</v>
      </c>
      <c r="C118" s="41" t="s">
        <v>23</v>
      </c>
      <c r="D118" s="42"/>
      <c r="E118" s="23">
        <f>25000</f>
        <v>25000</v>
      </c>
    </row>
    <row r="119" spans="2:5" s="3" customFormat="1" ht="33.950000000000003" customHeight="1" x14ac:dyDescent="0.3">
      <c r="B119" s="25" t="s">
        <v>258</v>
      </c>
      <c r="C119" s="41" t="s">
        <v>12</v>
      </c>
      <c r="D119" s="42"/>
      <c r="E119" s="23">
        <f>69400</f>
        <v>69400</v>
      </c>
    </row>
    <row r="120" spans="2:5" s="3" customFormat="1" ht="33.950000000000003" customHeight="1" x14ac:dyDescent="0.3">
      <c r="B120" s="25" t="s">
        <v>188</v>
      </c>
      <c r="C120" s="41" t="s">
        <v>65</v>
      </c>
      <c r="D120" s="42"/>
      <c r="E120" s="23">
        <f>60000</f>
        <v>60000</v>
      </c>
    </row>
    <row r="121" spans="2:5" s="3" customFormat="1" ht="33.75" customHeight="1" x14ac:dyDescent="0.3">
      <c r="B121" s="25" t="s">
        <v>189</v>
      </c>
      <c r="C121" s="41" t="s">
        <v>25</v>
      </c>
      <c r="D121" s="42"/>
      <c r="E121" s="23">
        <f>76100</f>
        <v>76100</v>
      </c>
    </row>
    <row r="122" spans="2:5" s="3" customFormat="1" ht="33.950000000000003" customHeight="1" x14ac:dyDescent="0.3">
      <c r="B122" s="25" t="s">
        <v>205</v>
      </c>
      <c r="C122" s="41" t="s">
        <v>57</v>
      </c>
      <c r="D122" s="42"/>
      <c r="E122" s="23">
        <f>30800</f>
        <v>30800</v>
      </c>
    </row>
    <row r="123" spans="2:5" s="3" customFormat="1" ht="33.950000000000003" customHeight="1" x14ac:dyDescent="0.3">
      <c r="B123" s="25" t="s">
        <v>190</v>
      </c>
      <c r="C123" s="41" t="s">
        <v>45</v>
      </c>
      <c r="D123" s="42"/>
      <c r="E123" s="23">
        <f>9870</f>
        <v>9870</v>
      </c>
    </row>
    <row r="124" spans="2:5" s="3" customFormat="1" ht="33.950000000000003" customHeight="1" x14ac:dyDescent="0.3">
      <c r="B124" s="25" t="s">
        <v>191</v>
      </c>
      <c r="C124" s="41" t="s">
        <v>61</v>
      </c>
      <c r="D124" s="42"/>
      <c r="E124" s="23">
        <f>22550</f>
        <v>22550</v>
      </c>
    </row>
    <row r="125" spans="2:5" s="3" customFormat="1" ht="33.950000000000003" customHeight="1" x14ac:dyDescent="0.3">
      <c r="B125" s="25" t="s">
        <v>192</v>
      </c>
      <c r="C125" s="41" t="s">
        <v>235</v>
      </c>
      <c r="D125" s="42"/>
      <c r="E125" s="23">
        <f>14800</f>
        <v>14800</v>
      </c>
    </row>
    <row r="126" spans="2:5" s="3" customFormat="1" ht="33.950000000000003" customHeight="1" x14ac:dyDescent="0.3">
      <c r="B126" s="25" t="s">
        <v>193</v>
      </c>
      <c r="C126" s="41" t="s">
        <v>39</v>
      </c>
      <c r="D126" s="42"/>
      <c r="E126" s="23">
        <f>71600</f>
        <v>71600</v>
      </c>
    </row>
    <row r="127" spans="2:5" s="3" customFormat="1" ht="33.950000000000003" customHeight="1" x14ac:dyDescent="0.3">
      <c r="B127" s="25" t="s">
        <v>147</v>
      </c>
      <c r="C127" s="41" t="s">
        <v>38</v>
      </c>
      <c r="D127" s="42"/>
      <c r="E127" s="23">
        <f>71300</f>
        <v>71300</v>
      </c>
    </row>
    <row r="128" spans="2:5" s="3" customFormat="1" ht="33.950000000000003" customHeight="1" x14ac:dyDescent="0.3">
      <c r="B128" s="25" t="s">
        <v>194</v>
      </c>
      <c r="C128" s="41" t="s">
        <v>46</v>
      </c>
      <c r="D128" s="42"/>
      <c r="E128" s="23">
        <f>35500</f>
        <v>35500</v>
      </c>
    </row>
    <row r="129" spans="2:5" s="3" customFormat="1" ht="33.950000000000003" customHeight="1" x14ac:dyDescent="0.3">
      <c r="B129" s="25" t="s">
        <v>195</v>
      </c>
      <c r="C129" s="41" t="s">
        <v>196</v>
      </c>
      <c r="D129" s="42"/>
      <c r="E129" s="23">
        <f>17100</f>
        <v>17100</v>
      </c>
    </row>
    <row r="130" spans="2:5" s="3" customFormat="1" ht="33.75" customHeight="1" x14ac:dyDescent="0.3">
      <c r="B130" s="25" t="s">
        <v>197</v>
      </c>
      <c r="C130" s="41" t="s">
        <v>47</v>
      </c>
      <c r="D130" s="42"/>
      <c r="E130" s="23">
        <f>42600</f>
        <v>42600</v>
      </c>
    </row>
    <row r="131" spans="2:5" s="3" customFormat="1" ht="33.950000000000003" customHeight="1" x14ac:dyDescent="0.3">
      <c r="B131" s="25" t="s">
        <v>148</v>
      </c>
      <c r="C131" s="41" t="s">
        <v>55</v>
      </c>
      <c r="D131" s="42"/>
      <c r="E131" s="23">
        <f>10200</f>
        <v>10200</v>
      </c>
    </row>
    <row r="132" spans="2:5" s="3" customFormat="1" ht="33.75" customHeight="1" x14ac:dyDescent="0.3">
      <c r="B132" s="25" t="s">
        <v>198</v>
      </c>
      <c r="C132" s="41" t="s">
        <v>232</v>
      </c>
      <c r="D132" s="42"/>
      <c r="E132" s="23">
        <f>7400</f>
        <v>7400</v>
      </c>
    </row>
    <row r="133" spans="2:5" s="3" customFormat="1" ht="33.950000000000003" customHeight="1" x14ac:dyDescent="0.3">
      <c r="B133" s="25" t="s">
        <v>199</v>
      </c>
      <c r="C133" s="41" t="s">
        <v>48</v>
      </c>
      <c r="D133" s="42"/>
      <c r="E133" s="23">
        <f>42700</f>
        <v>42700</v>
      </c>
    </row>
    <row r="134" spans="2:5" s="3" customFormat="1" ht="33.950000000000003" customHeight="1" x14ac:dyDescent="0.3">
      <c r="B134" s="25" t="s">
        <v>261</v>
      </c>
      <c r="C134" s="41" t="s">
        <v>13</v>
      </c>
      <c r="D134" s="42"/>
      <c r="E134" s="23">
        <f>30400</f>
        <v>30400</v>
      </c>
    </row>
    <row r="135" spans="2:5" s="3" customFormat="1" ht="33.950000000000003" customHeight="1" x14ac:dyDescent="0.3">
      <c r="B135" s="25" t="s">
        <v>200</v>
      </c>
      <c r="C135" s="41" t="s">
        <v>11</v>
      </c>
      <c r="D135" s="42"/>
      <c r="E135" s="23">
        <f>14000</f>
        <v>14000</v>
      </c>
    </row>
    <row r="136" spans="2:5" s="3" customFormat="1" ht="33.950000000000003" customHeight="1" x14ac:dyDescent="0.3">
      <c r="B136" s="25" t="s">
        <v>201</v>
      </c>
      <c r="C136" s="41" t="s">
        <v>202</v>
      </c>
      <c r="D136" s="42"/>
      <c r="E136" s="23">
        <f>13600</f>
        <v>13600</v>
      </c>
    </row>
    <row r="137" spans="2:5" s="3" customFormat="1" ht="33.75" customHeight="1" x14ac:dyDescent="0.3">
      <c r="B137" s="25" t="s">
        <v>149</v>
      </c>
      <c r="C137" s="41" t="s">
        <v>59</v>
      </c>
      <c r="D137" s="42"/>
      <c r="E137" s="23">
        <f>37500</f>
        <v>37500</v>
      </c>
    </row>
    <row r="138" spans="2:5" s="3" customFormat="1" ht="33.75" customHeight="1" x14ac:dyDescent="0.3">
      <c r="B138" s="25" t="s">
        <v>203</v>
      </c>
      <c r="C138" s="41" t="s">
        <v>237</v>
      </c>
      <c r="D138" s="42"/>
      <c r="E138" s="23">
        <f>32500</f>
        <v>32500</v>
      </c>
    </row>
    <row r="139" spans="2:5" s="3" customFormat="1" ht="33.950000000000003" customHeight="1" x14ac:dyDescent="0.3">
      <c r="B139" s="30" t="s">
        <v>168</v>
      </c>
      <c r="C139" s="43" t="s">
        <v>231</v>
      </c>
      <c r="D139" s="44"/>
      <c r="E139" s="23">
        <f>38300</f>
        <v>38300</v>
      </c>
    </row>
    <row r="140" spans="2:5" s="3" customFormat="1" ht="60.75" customHeight="1" x14ac:dyDescent="0.3">
      <c r="B140" s="25"/>
      <c r="C140" s="45" t="s">
        <v>229</v>
      </c>
      <c r="D140" s="45"/>
      <c r="E140" s="24">
        <f>SUM(E141:E214)</f>
        <v>285263200</v>
      </c>
    </row>
    <row r="141" spans="2:5" s="3" customFormat="1" ht="33.75" customHeight="1" x14ac:dyDescent="0.3">
      <c r="B141" s="30" t="s">
        <v>152</v>
      </c>
      <c r="C141" s="43" t="s">
        <v>14</v>
      </c>
      <c r="D141" s="44"/>
      <c r="E141" s="23">
        <f>2173100</f>
        <v>2173100</v>
      </c>
    </row>
    <row r="142" spans="2:5" s="3" customFormat="1" ht="33.75" customHeight="1" x14ac:dyDescent="0.3">
      <c r="B142" s="30" t="s">
        <v>285</v>
      </c>
      <c r="C142" s="40" t="s">
        <v>16</v>
      </c>
      <c r="D142" s="40"/>
      <c r="E142" s="23">
        <f>90000000</f>
        <v>90000000</v>
      </c>
    </row>
    <row r="143" spans="2:5" s="3" customFormat="1" ht="33.75" customHeight="1" x14ac:dyDescent="0.3">
      <c r="B143" s="30" t="s">
        <v>249</v>
      </c>
      <c r="C143" s="41" t="s">
        <v>100</v>
      </c>
      <c r="D143" s="42"/>
      <c r="E143" s="23">
        <f>3000000</f>
        <v>3000000</v>
      </c>
    </row>
    <row r="144" spans="2:5" s="3" customFormat="1" ht="33.75" customHeight="1" x14ac:dyDescent="0.3">
      <c r="B144" s="30" t="s">
        <v>102</v>
      </c>
      <c r="C144" s="43" t="s">
        <v>18</v>
      </c>
      <c r="D144" s="44"/>
      <c r="E144" s="23">
        <f>86000000</f>
        <v>86000000</v>
      </c>
    </row>
    <row r="145" spans="2:5" s="3" customFormat="1" ht="37.5" customHeight="1" x14ac:dyDescent="0.3">
      <c r="B145" s="25" t="s">
        <v>155</v>
      </c>
      <c r="C145" s="41" t="s">
        <v>22</v>
      </c>
      <c r="D145" s="42"/>
      <c r="E145" s="23">
        <f>13332500</f>
        <v>13332500</v>
      </c>
    </row>
    <row r="146" spans="2:5" s="3" customFormat="1" ht="33.75" customHeight="1" x14ac:dyDescent="0.3">
      <c r="B146" s="30" t="s">
        <v>154</v>
      </c>
      <c r="C146" s="43" t="s">
        <v>234</v>
      </c>
      <c r="D146" s="44"/>
      <c r="E146" s="23">
        <f>3100000</f>
        <v>3100000</v>
      </c>
    </row>
    <row r="147" spans="2:5" s="3" customFormat="1" ht="33.75" customHeight="1" x14ac:dyDescent="0.3">
      <c r="B147" s="25" t="s">
        <v>157</v>
      </c>
      <c r="C147" s="43" t="s">
        <v>26</v>
      </c>
      <c r="D147" s="44"/>
      <c r="E147" s="23">
        <f>2780800</f>
        <v>2780800</v>
      </c>
    </row>
    <row r="148" spans="2:5" s="3" customFormat="1" ht="37.5" customHeight="1" x14ac:dyDescent="0.3">
      <c r="B148" s="25" t="s">
        <v>158</v>
      </c>
      <c r="C148" s="43" t="s">
        <v>27</v>
      </c>
      <c r="D148" s="44"/>
      <c r="E148" s="23">
        <f>2888400</f>
        <v>2888400</v>
      </c>
    </row>
    <row r="149" spans="2:5" s="3" customFormat="1" ht="33.75" customHeight="1" x14ac:dyDescent="0.3">
      <c r="B149" s="30" t="s">
        <v>259</v>
      </c>
      <c r="C149" s="43" t="s">
        <v>238</v>
      </c>
      <c r="D149" s="44"/>
      <c r="E149" s="23">
        <f>2461700</f>
        <v>2461700</v>
      </c>
    </row>
    <row r="150" spans="2:5" s="3" customFormat="1" ht="33.950000000000003" customHeight="1" x14ac:dyDescent="0.3">
      <c r="B150" s="25" t="s">
        <v>160</v>
      </c>
      <c r="C150" s="43" t="s">
        <v>31</v>
      </c>
      <c r="D150" s="44"/>
      <c r="E150" s="23">
        <f>3379800</f>
        <v>3379800</v>
      </c>
    </row>
    <row r="151" spans="2:5" s="3" customFormat="1" ht="33.950000000000003" customHeight="1" x14ac:dyDescent="0.3">
      <c r="B151" s="25" t="s">
        <v>161</v>
      </c>
      <c r="C151" s="43" t="s">
        <v>32</v>
      </c>
      <c r="D151" s="44"/>
      <c r="E151" s="23">
        <f>1205300</f>
        <v>1205300</v>
      </c>
    </row>
    <row r="152" spans="2:5" s="3" customFormat="1" ht="33.75" customHeight="1" x14ac:dyDescent="0.3">
      <c r="B152" s="25" t="s">
        <v>133</v>
      </c>
      <c r="C152" s="43" t="s">
        <v>131</v>
      </c>
      <c r="D152" s="44"/>
      <c r="E152" s="23">
        <f>409200</f>
        <v>409200</v>
      </c>
    </row>
    <row r="153" spans="2:5" s="3" customFormat="1" ht="33.75" customHeight="1" x14ac:dyDescent="0.3">
      <c r="B153" s="25" t="s">
        <v>163</v>
      </c>
      <c r="C153" s="43" t="s">
        <v>41</v>
      </c>
      <c r="D153" s="44"/>
      <c r="E153" s="23">
        <f>722300</f>
        <v>722300</v>
      </c>
    </row>
    <row r="154" spans="2:5" s="3" customFormat="1" ht="33.75" customHeight="1" x14ac:dyDescent="0.3">
      <c r="B154" s="30" t="s">
        <v>265</v>
      </c>
      <c r="C154" s="43" t="s">
        <v>49</v>
      </c>
      <c r="D154" s="44"/>
      <c r="E154" s="23">
        <f>270000</f>
        <v>270000</v>
      </c>
    </row>
    <row r="155" spans="2:5" s="3" customFormat="1" ht="33.950000000000003" customHeight="1" x14ac:dyDescent="0.3">
      <c r="B155" s="30" t="s">
        <v>134</v>
      </c>
      <c r="C155" s="43" t="s">
        <v>33</v>
      </c>
      <c r="D155" s="44"/>
      <c r="E155" s="23">
        <f>2432500</f>
        <v>2432500</v>
      </c>
    </row>
    <row r="156" spans="2:5" s="3" customFormat="1" ht="33.75" customHeight="1" x14ac:dyDescent="0.3">
      <c r="B156" s="30" t="s">
        <v>95</v>
      </c>
      <c r="C156" s="43" t="s">
        <v>52</v>
      </c>
      <c r="D156" s="44"/>
      <c r="E156" s="23">
        <f>2231300</f>
        <v>2231300</v>
      </c>
    </row>
    <row r="157" spans="2:5" s="3" customFormat="1" ht="33.75" customHeight="1" x14ac:dyDescent="0.3">
      <c r="B157" s="30" t="s">
        <v>135</v>
      </c>
      <c r="C157" s="43" t="s">
        <v>42</v>
      </c>
      <c r="D157" s="44"/>
      <c r="E157" s="23">
        <f>271900</f>
        <v>271900</v>
      </c>
    </row>
    <row r="158" spans="2:5" s="3" customFormat="1" ht="33.950000000000003" customHeight="1" x14ac:dyDescent="0.3">
      <c r="B158" s="30" t="s">
        <v>136</v>
      </c>
      <c r="C158" s="43" t="s">
        <v>7</v>
      </c>
      <c r="D158" s="44"/>
      <c r="E158" s="23">
        <f>2547900</f>
        <v>2547900</v>
      </c>
    </row>
    <row r="159" spans="2:5" s="3" customFormat="1" ht="33.950000000000003" customHeight="1" x14ac:dyDescent="0.3">
      <c r="B159" s="30" t="s">
        <v>137</v>
      </c>
      <c r="C159" s="43" t="s">
        <v>50</v>
      </c>
      <c r="D159" s="44"/>
      <c r="E159" s="23">
        <f>1459100</f>
        <v>1459100</v>
      </c>
    </row>
    <row r="160" spans="2:5" s="3" customFormat="1" ht="33.75" customHeight="1" x14ac:dyDescent="0.3">
      <c r="B160" s="30" t="s">
        <v>165</v>
      </c>
      <c r="C160" s="43" t="s">
        <v>15</v>
      </c>
      <c r="D160" s="44"/>
      <c r="E160" s="23">
        <f>2088800</f>
        <v>2088800</v>
      </c>
    </row>
    <row r="161" spans="2:5" s="3" customFormat="1" ht="33.950000000000003" customHeight="1" x14ac:dyDescent="0.3">
      <c r="B161" s="30" t="s">
        <v>138</v>
      </c>
      <c r="C161" s="43" t="s">
        <v>62</v>
      </c>
      <c r="D161" s="44"/>
      <c r="E161" s="23">
        <f>566900</f>
        <v>566900</v>
      </c>
    </row>
    <row r="162" spans="2:5" s="3" customFormat="1" ht="33.75" customHeight="1" x14ac:dyDescent="0.3">
      <c r="B162" s="30" t="s">
        <v>166</v>
      </c>
      <c r="C162" s="43" t="s">
        <v>6</v>
      </c>
      <c r="D162" s="44"/>
      <c r="E162" s="23">
        <f>553000</f>
        <v>553000</v>
      </c>
    </row>
    <row r="163" spans="2:5" s="3" customFormat="1" ht="33.75" customHeight="1" x14ac:dyDescent="0.3">
      <c r="B163" s="30" t="s">
        <v>139</v>
      </c>
      <c r="C163" s="43" t="s">
        <v>140</v>
      </c>
      <c r="D163" s="44"/>
      <c r="E163" s="23">
        <f>391600</f>
        <v>391600</v>
      </c>
    </row>
    <row r="164" spans="2:5" s="3" customFormat="1" ht="33.950000000000003" customHeight="1" x14ac:dyDescent="0.3">
      <c r="B164" s="30" t="s">
        <v>167</v>
      </c>
      <c r="C164" s="43" t="s">
        <v>8</v>
      </c>
      <c r="D164" s="44"/>
      <c r="E164" s="23">
        <f>485100</f>
        <v>485100</v>
      </c>
    </row>
    <row r="165" spans="2:5" s="3" customFormat="1" ht="33.75" customHeight="1" x14ac:dyDescent="0.3">
      <c r="B165" s="30" t="s">
        <v>141</v>
      </c>
      <c r="C165" s="43" t="s">
        <v>34</v>
      </c>
      <c r="D165" s="44"/>
      <c r="E165" s="23">
        <f>1103700</f>
        <v>1103700</v>
      </c>
    </row>
    <row r="166" spans="2:5" s="3" customFormat="1" ht="33.950000000000003" customHeight="1" x14ac:dyDescent="0.3">
      <c r="B166" s="30" t="s">
        <v>142</v>
      </c>
      <c r="C166" s="43" t="s">
        <v>58</v>
      </c>
      <c r="D166" s="44"/>
      <c r="E166" s="23">
        <f>1280000</f>
        <v>1280000</v>
      </c>
    </row>
    <row r="167" spans="2:5" s="3" customFormat="1" ht="33.950000000000003" customHeight="1" x14ac:dyDescent="0.3">
      <c r="B167" s="30" t="s">
        <v>169</v>
      </c>
      <c r="C167" s="43" t="s">
        <v>170</v>
      </c>
      <c r="D167" s="44"/>
      <c r="E167" s="23">
        <f>302200</f>
        <v>302200</v>
      </c>
    </row>
    <row r="168" spans="2:5" s="3" customFormat="1" ht="33.950000000000003" customHeight="1" x14ac:dyDescent="0.3">
      <c r="B168" s="30" t="s">
        <v>150</v>
      </c>
      <c r="C168" s="43" t="s">
        <v>151</v>
      </c>
      <c r="D168" s="44"/>
      <c r="E168" s="23">
        <f>533900</f>
        <v>533900</v>
      </c>
    </row>
    <row r="169" spans="2:5" s="3" customFormat="1" ht="33.950000000000003" customHeight="1" x14ac:dyDescent="0.3">
      <c r="B169" s="30" t="s">
        <v>143</v>
      </c>
      <c r="C169" s="43" t="s">
        <v>63</v>
      </c>
      <c r="D169" s="44"/>
      <c r="E169" s="23">
        <f>802200</f>
        <v>802200</v>
      </c>
    </row>
    <row r="170" spans="2:5" s="3" customFormat="1" ht="33.950000000000003" customHeight="1" x14ac:dyDescent="0.3">
      <c r="B170" s="30" t="s">
        <v>144</v>
      </c>
      <c r="C170" s="43" t="s">
        <v>19</v>
      </c>
      <c r="D170" s="44"/>
      <c r="E170" s="23">
        <f>1561000</f>
        <v>1561000</v>
      </c>
    </row>
    <row r="171" spans="2:5" s="3" customFormat="1" ht="33.75" customHeight="1" x14ac:dyDescent="0.3">
      <c r="B171" s="30" t="s">
        <v>172</v>
      </c>
      <c r="C171" s="43" t="s">
        <v>60</v>
      </c>
      <c r="D171" s="44"/>
      <c r="E171" s="23">
        <f>463900</f>
        <v>463900</v>
      </c>
    </row>
    <row r="172" spans="2:5" s="3" customFormat="1" ht="33.75" customHeight="1" x14ac:dyDescent="0.3">
      <c r="B172" s="25" t="s">
        <v>173</v>
      </c>
      <c r="C172" s="41" t="s">
        <v>174</v>
      </c>
      <c r="D172" s="42"/>
      <c r="E172" s="23">
        <f>111500</f>
        <v>111500</v>
      </c>
    </row>
    <row r="173" spans="2:5" s="3" customFormat="1" ht="33.75" customHeight="1" x14ac:dyDescent="0.3">
      <c r="B173" s="25" t="s">
        <v>175</v>
      </c>
      <c r="C173" s="41" t="s">
        <v>9</v>
      </c>
      <c r="D173" s="42"/>
      <c r="E173" s="23">
        <f>2135500</f>
        <v>2135500</v>
      </c>
    </row>
    <row r="174" spans="2:5" s="3" customFormat="1" ht="33.75" customHeight="1" x14ac:dyDescent="0.3">
      <c r="B174" s="11">
        <v>453100000</v>
      </c>
      <c r="C174" s="40" t="s">
        <v>51</v>
      </c>
      <c r="D174" s="40"/>
      <c r="E174" s="23">
        <f>163800</f>
        <v>163800</v>
      </c>
    </row>
    <row r="175" spans="2:5" s="3" customFormat="1" ht="33.75" customHeight="1" x14ac:dyDescent="0.3">
      <c r="B175" s="25" t="s">
        <v>176</v>
      </c>
      <c r="C175" s="41" t="s">
        <v>66</v>
      </c>
      <c r="D175" s="42"/>
      <c r="E175" s="23">
        <f>434600</f>
        <v>434600</v>
      </c>
    </row>
    <row r="176" spans="2:5" s="3" customFormat="1" ht="33.75" customHeight="1" x14ac:dyDescent="0.3">
      <c r="B176" s="30" t="s">
        <v>263</v>
      </c>
      <c r="C176" s="43" t="s">
        <v>53</v>
      </c>
      <c r="D176" s="44"/>
      <c r="E176" s="23">
        <f>310400</f>
        <v>310400</v>
      </c>
    </row>
    <row r="177" spans="2:5" s="3" customFormat="1" ht="33.75" customHeight="1" x14ac:dyDescent="0.3">
      <c r="B177" s="25" t="s">
        <v>260</v>
      </c>
      <c r="C177" s="41" t="s">
        <v>80</v>
      </c>
      <c r="D177" s="42"/>
      <c r="E177" s="23">
        <f>200000</f>
        <v>200000</v>
      </c>
    </row>
    <row r="178" spans="2:5" s="3" customFormat="1" ht="33.75" customHeight="1" x14ac:dyDescent="0.3">
      <c r="B178" s="25" t="s">
        <v>177</v>
      </c>
      <c r="C178" s="41" t="s">
        <v>79</v>
      </c>
      <c r="D178" s="42"/>
      <c r="E178" s="23">
        <f>603800</f>
        <v>603800</v>
      </c>
    </row>
    <row r="179" spans="2:5" s="3" customFormat="1" ht="33.75" customHeight="1" x14ac:dyDescent="0.3">
      <c r="B179" s="30" t="s">
        <v>266</v>
      </c>
      <c r="C179" s="41" t="s">
        <v>40</v>
      </c>
      <c r="D179" s="42"/>
      <c r="E179" s="23">
        <f>287700</f>
        <v>287700</v>
      </c>
    </row>
    <row r="180" spans="2:5" s="3" customFormat="1" ht="33.950000000000003" customHeight="1" x14ac:dyDescent="0.3">
      <c r="B180" s="25" t="s">
        <v>178</v>
      </c>
      <c r="C180" s="41" t="s">
        <v>36</v>
      </c>
      <c r="D180" s="42"/>
      <c r="E180" s="23">
        <f>414200</f>
        <v>414200</v>
      </c>
    </row>
    <row r="181" spans="2:5" s="3" customFormat="1" ht="33.950000000000003" customHeight="1" x14ac:dyDescent="0.3">
      <c r="B181" s="25" t="s">
        <v>185</v>
      </c>
      <c r="C181" s="41" t="s">
        <v>236</v>
      </c>
      <c r="D181" s="42"/>
      <c r="E181" s="23">
        <f>1776200</f>
        <v>1776200</v>
      </c>
    </row>
    <row r="182" spans="2:5" s="3" customFormat="1" ht="33.950000000000003" customHeight="1" x14ac:dyDescent="0.3">
      <c r="B182" s="25" t="s">
        <v>179</v>
      </c>
      <c r="C182" s="41" t="s">
        <v>180</v>
      </c>
      <c r="D182" s="42"/>
      <c r="E182" s="23">
        <f>249400</f>
        <v>249400</v>
      </c>
    </row>
    <row r="183" spans="2:5" s="3" customFormat="1" ht="33.950000000000003" customHeight="1" x14ac:dyDescent="0.3">
      <c r="B183" s="25" t="s">
        <v>181</v>
      </c>
      <c r="C183" s="41" t="s">
        <v>132</v>
      </c>
      <c r="D183" s="42"/>
      <c r="E183" s="23">
        <f>1606300</f>
        <v>1606300</v>
      </c>
    </row>
    <row r="184" spans="2:5" s="3" customFormat="1" ht="33.75" customHeight="1" x14ac:dyDescent="0.3">
      <c r="B184" s="25" t="s">
        <v>146</v>
      </c>
      <c r="C184" s="41" t="s">
        <v>67</v>
      </c>
      <c r="D184" s="42"/>
      <c r="E184" s="23">
        <f>3364300</f>
        <v>3364300</v>
      </c>
    </row>
    <row r="185" spans="2:5" s="3" customFormat="1" ht="33.75" customHeight="1" x14ac:dyDescent="0.3">
      <c r="B185" s="30" t="s">
        <v>256</v>
      </c>
      <c r="C185" s="41" t="s">
        <v>257</v>
      </c>
      <c r="D185" s="42"/>
      <c r="E185" s="23">
        <f>195400</f>
        <v>195400</v>
      </c>
    </row>
    <row r="186" spans="2:5" s="3" customFormat="1" ht="33.75" customHeight="1" x14ac:dyDescent="0.3">
      <c r="B186" s="30" t="s">
        <v>278</v>
      </c>
      <c r="C186" s="41" t="s">
        <v>21</v>
      </c>
      <c r="D186" s="42"/>
      <c r="E186" s="23">
        <v>1405700</v>
      </c>
    </row>
    <row r="187" spans="2:5" s="3" customFormat="1" ht="33.75" customHeight="1" x14ac:dyDescent="0.3">
      <c r="B187" s="25" t="s">
        <v>183</v>
      </c>
      <c r="C187" s="41" t="s">
        <v>10</v>
      </c>
      <c r="D187" s="42"/>
      <c r="E187" s="23">
        <f>1000000+275200</f>
        <v>1275200</v>
      </c>
    </row>
    <row r="188" spans="2:5" s="3" customFormat="1" ht="33.950000000000003" customHeight="1" x14ac:dyDescent="0.3">
      <c r="B188" s="25" t="s">
        <v>184</v>
      </c>
      <c r="C188" s="41" t="s">
        <v>64</v>
      </c>
      <c r="D188" s="42"/>
      <c r="E188" s="23">
        <f>1164700</f>
        <v>1164700</v>
      </c>
    </row>
    <row r="189" spans="2:5" s="3" customFormat="1" ht="33.75" customHeight="1" x14ac:dyDescent="0.3">
      <c r="B189" s="25" t="s">
        <v>186</v>
      </c>
      <c r="C189" s="41" t="s">
        <v>56</v>
      </c>
      <c r="D189" s="42"/>
      <c r="E189" s="23">
        <f>3306000</f>
        <v>3306000</v>
      </c>
    </row>
    <row r="190" spans="2:5" s="3" customFormat="1" ht="33.950000000000003" customHeight="1" x14ac:dyDescent="0.3">
      <c r="B190" s="25" t="s">
        <v>187</v>
      </c>
      <c r="C190" s="41" t="s">
        <v>23</v>
      </c>
      <c r="D190" s="42"/>
      <c r="E190" s="23">
        <f>657100</f>
        <v>657100</v>
      </c>
    </row>
    <row r="191" spans="2:5" s="3" customFormat="1" ht="33.950000000000003" customHeight="1" x14ac:dyDescent="0.3">
      <c r="B191" s="30" t="s">
        <v>258</v>
      </c>
      <c r="C191" s="41" t="s">
        <v>12</v>
      </c>
      <c r="D191" s="42"/>
      <c r="E191" s="26">
        <f>3161700</f>
        <v>3161700</v>
      </c>
    </row>
    <row r="192" spans="2:5" s="3" customFormat="1" ht="33.950000000000003" customHeight="1" x14ac:dyDescent="0.3">
      <c r="B192" s="25" t="s">
        <v>188</v>
      </c>
      <c r="C192" s="41" t="s">
        <v>65</v>
      </c>
      <c r="D192" s="42"/>
      <c r="E192" s="23">
        <f>2189500</f>
        <v>2189500</v>
      </c>
    </row>
    <row r="193" spans="2:5" s="3" customFormat="1" ht="33.75" customHeight="1" x14ac:dyDescent="0.3">
      <c r="B193" s="11">
        <v>452300000</v>
      </c>
      <c r="C193" s="40" t="s">
        <v>44</v>
      </c>
      <c r="D193" s="40"/>
      <c r="E193" s="23">
        <f>626000</f>
        <v>626000</v>
      </c>
    </row>
    <row r="194" spans="2:5" s="3" customFormat="1" ht="33.75" customHeight="1" x14ac:dyDescent="0.3">
      <c r="B194" s="25" t="s">
        <v>189</v>
      </c>
      <c r="C194" s="41" t="s">
        <v>25</v>
      </c>
      <c r="D194" s="42"/>
      <c r="E194" s="23">
        <f>700000</f>
        <v>700000</v>
      </c>
    </row>
    <row r="195" spans="2:5" s="3" customFormat="1" ht="33.950000000000003" customHeight="1" x14ac:dyDescent="0.3">
      <c r="B195" s="25" t="s">
        <v>205</v>
      </c>
      <c r="C195" s="41" t="s">
        <v>57</v>
      </c>
      <c r="D195" s="42"/>
      <c r="E195" s="23">
        <f>1083600</f>
        <v>1083600</v>
      </c>
    </row>
    <row r="196" spans="2:5" s="3" customFormat="1" ht="33.950000000000003" customHeight="1" x14ac:dyDescent="0.3">
      <c r="B196" s="25" t="s">
        <v>190</v>
      </c>
      <c r="C196" s="41" t="s">
        <v>45</v>
      </c>
      <c r="D196" s="42"/>
      <c r="E196" s="23">
        <f>195000</f>
        <v>195000</v>
      </c>
    </row>
    <row r="197" spans="2:5" s="3" customFormat="1" ht="33.950000000000003" customHeight="1" x14ac:dyDescent="0.3">
      <c r="B197" s="25" t="s">
        <v>191</v>
      </c>
      <c r="C197" s="41" t="s">
        <v>61</v>
      </c>
      <c r="D197" s="42"/>
      <c r="E197" s="23">
        <f>618800</f>
        <v>618800</v>
      </c>
    </row>
    <row r="198" spans="2:5" s="3" customFormat="1" ht="33.950000000000003" customHeight="1" x14ac:dyDescent="0.3">
      <c r="B198" s="25" t="s">
        <v>192</v>
      </c>
      <c r="C198" s="41" t="s">
        <v>235</v>
      </c>
      <c r="D198" s="42"/>
      <c r="E198" s="23">
        <f>511200</f>
        <v>511200</v>
      </c>
    </row>
    <row r="199" spans="2:5" s="3" customFormat="1" ht="33.950000000000003" customHeight="1" x14ac:dyDescent="0.3">
      <c r="B199" s="25" t="s">
        <v>281</v>
      </c>
      <c r="C199" s="40" t="s">
        <v>239</v>
      </c>
      <c r="D199" s="40"/>
      <c r="E199" s="23">
        <f>497500</f>
        <v>497500</v>
      </c>
    </row>
    <row r="200" spans="2:5" s="3" customFormat="1" ht="33.950000000000003" customHeight="1" x14ac:dyDescent="0.3">
      <c r="B200" s="25" t="s">
        <v>193</v>
      </c>
      <c r="C200" s="41" t="s">
        <v>39</v>
      </c>
      <c r="D200" s="42"/>
      <c r="E200" s="23">
        <f>11378400</f>
        <v>11378400</v>
      </c>
    </row>
    <row r="201" spans="2:5" s="3" customFormat="1" ht="33.950000000000003" customHeight="1" x14ac:dyDescent="0.3">
      <c r="B201" s="25" t="s">
        <v>271</v>
      </c>
      <c r="C201" s="40" t="s">
        <v>99</v>
      </c>
      <c r="D201" s="40"/>
      <c r="E201" s="23">
        <f>200100</f>
        <v>200100</v>
      </c>
    </row>
    <row r="202" spans="2:5" s="3" customFormat="1" ht="33.950000000000003" customHeight="1" x14ac:dyDescent="0.3">
      <c r="B202" s="25" t="s">
        <v>147</v>
      </c>
      <c r="C202" s="41" t="s">
        <v>38</v>
      </c>
      <c r="D202" s="42"/>
      <c r="E202" s="23">
        <f>2589300</f>
        <v>2589300</v>
      </c>
    </row>
    <row r="203" spans="2:5" s="3" customFormat="1" ht="33.950000000000003" customHeight="1" x14ac:dyDescent="0.3">
      <c r="B203" s="25" t="s">
        <v>194</v>
      </c>
      <c r="C203" s="41" t="s">
        <v>46</v>
      </c>
      <c r="D203" s="42"/>
      <c r="E203" s="23">
        <f>500000</f>
        <v>500000</v>
      </c>
    </row>
    <row r="204" spans="2:5" s="3" customFormat="1" ht="33.950000000000003" customHeight="1" x14ac:dyDescent="0.3">
      <c r="B204" s="25" t="s">
        <v>195</v>
      </c>
      <c r="C204" s="41" t="s">
        <v>196</v>
      </c>
      <c r="D204" s="42"/>
      <c r="E204" s="23">
        <f>300900</f>
        <v>300900</v>
      </c>
    </row>
    <row r="205" spans="2:5" s="3" customFormat="1" ht="33.75" customHeight="1" x14ac:dyDescent="0.3">
      <c r="B205" s="25" t="s">
        <v>197</v>
      </c>
      <c r="C205" s="41" t="s">
        <v>47</v>
      </c>
      <c r="D205" s="42"/>
      <c r="E205" s="23">
        <f>1018600</f>
        <v>1018600</v>
      </c>
    </row>
    <row r="206" spans="2:5" s="3" customFormat="1" ht="33.950000000000003" customHeight="1" x14ac:dyDescent="0.3">
      <c r="B206" s="25" t="s">
        <v>148</v>
      </c>
      <c r="C206" s="41" t="s">
        <v>55</v>
      </c>
      <c r="D206" s="42"/>
      <c r="E206" s="23">
        <f>1340600</f>
        <v>1340600</v>
      </c>
    </row>
    <row r="207" spans="2:5" s="3" customFormat="1" ht="33.75" customHeight="1" x14ac:dyDescent="0.3">
      <c r="B207" s="25" t="s">
        <v>198</v>
      </c>
      <c r="C207" s="41" t="s">
        <v>232</v>
      </c>
      <c r="D207" s="42"/>
      <c r="E207" s="23">
        <f>229300</f>
        <v>229300</v>
      </c>
    </row>
    <row r="208" spans="2:5" s="3" customFormat="1" ht="33.950000000000003" customHeight="1" x14ac:dyDescent="0.3">
      <c r="B208" s="25" t="s">
        <v>199</v>
      </c>
      <c r="C208" s="41" t="s">
        <v>48</v>
      </c>
      <c r="D208" s="42"/>
      <c r="E208" s="23">
        <f>1456700</f>
        <v>1456700</v>
      </c>
    </row>
    <row r="209" spans="2:5" s="3" customFormat="1" ht="33.950000000000003" customHeight="1" x14ac:dyDescent="0.3">
      <c r="B209" s="25" t="s">
        <v>261</v>
      </c>
      <c r="C209" s="41" t="s">
        <v>13</v>
      </c>
      <c r="D209" s="42"/>
      <c r="E209" s="23">
        <f>2000000</f>
        <v>2000000</v>
      </c>
    </row>
    <row r="210" spans="2:5" s="3" customFormat="1" ht="33.950000000000003" customHeight="1" x14ac:dyDescent="0.3">
      <c r="B210" s="25" t="s">
        <v>200</v>
      </c>
      <c r="C210" s="41" t="s">
        <v>11</v>
      </c>
      <c r="D210" s="42"/>
      <c r="E210" s="23">
        <f>508900</f>
        <v>508900</v>
      </c>
    </row>
    <row r="211" spans="2:5" s="3" customFormat="1" ht="33.950000000000003" customHeight="1" x14ac:dyDescent="0.3">
      <c r="B211" s="25" t="s">
        <v>201</v>
      </c>
      <c r="C211" s="41" t="s">
        <v>202</v>
      </c>
      <c r="D211" s="42"/>
      <c r="E211" s="23">
        <f>648600</f>
        <v>648600</v>
      </c>
    </row>
    <row r="212" spans="2:5" s="3" customFormat="1" ht="33.75" customHeight="1" x14ac:dyDescent="0.3">
      <c r="B212" s="25" t="s">
        <v>149</v>
      </c>
      <c r="C212" s="41" t="s">
        <v>59</v>
      </c>
      <c r="D212" s="42"/>
      <c r="E212" s="23">
        <f>673300</f>
        <v>673300</v>
      </c>
    </row>
    <row r="213" spans="2:5" s="3" customFormat="1" ht="33.75" customHeight="1" x14ac:dyDescent="0.3">
      <c r="B213" s="25" t="s">
        <v>203</v>
      </c>
      <c r="C213" s="41" t="s">
        <v>237</v>
      </c>
      <c r="D213" s="42"/>
      <c r="E213" s="23">
        <f>1191600</f>
        <v>1191600</v>
      </c>
    </row>
    <row r="214" spans="2:5" s="3" customFormat="1" ht="33.950000000000003" customHeight="1" x14ac:dyDescent="0.3">
      <c r="B214" s="30" t="s">
        <v>168</v>
      </c>
      <c r="C214" s="43" t="s">
        <v>231</v>
      </c>
      <c r="D214" s="44"/>
      <c r="E214" s="23">
        <f>1183700</f>
        <v>1183700</v>
      </c>
    </row>
    <row r="215" spans="2:5" s="3" customFormat="1" ht="60" customHeight="1" x14ac:dyDescent="0.3">
      <c r="B215" s="25"/>
      <c r="C215" s="45" t="s">
        <v>268</v>
      </c>
      <c r="D215" s="45"/>
      <c r="E215" s="24">
        <f>E216</f>
        <v>900000</v>
      </c>
    </row>
    <row r="216" spans="2:5" s="3" customFormat="1" ht="33.75" customHeight="1" x14ac:dyDescent="0.3">
      <c r="B216" s="25" t="s">
        <v>199</v>
      </c>
      <c r="C216" s="41" t="s">
        <v>48</v>
      </c>
      <c r="D216" s="42"/>
      <c r="E216" s="23">
        <f>400000+500000</f>
        <v>900000</v>
      </c>
    </row>
    <row r="217" spans="2:5" s="3" customFormat="1" ht="33.75" customHeight="1" x14ac:dyDescent="0.3">
      <c r="B217" s="25"/>
      <c r="C217" s="45" t="s">
        <v>277</v>
      </c>
      <c r="D217" s="45"/>
      <c r="E217" s="24">
        <f>E218</f>
        <v>210000</v>
      </c>
    </row>
    <row r="218" spans="2:5" s="3" customFormat="1" ht="33.950000000000003" customHeight="1" x14ac:dyDescent="0.3">
      <c r="B218" s="25" t="s">
        <v>181</v>
      </c>
      <c r="C218" s="41" t="s">
        <v>132</v>
      </c>
      <c r="D218" s="42"/>
      <c r="E218" s="23">
        <f>210000</f>
        <v>210000</v>
      </c>
    </row>
    <row r="219" spans="2:5" s="3" customFormat="1" ht="33.950000000000003" customHeight="1" x14ac:dyDescent="0.3">
      <c r="B219" s="25"/>
      <c r="C219" s="45" t="s">
        <v>286</v>
      </c>
      <c r="D219" s="45"/>
      <c r="E219" s="24">
        <f>E220</f>
        <v>169820</v>
      </c>
    </row>
    <row r="220" spans="2:5" s="3" customFormat="1" ht="33.75" customHeight="1" x14ac:dyDescent="0.3">
      <c r="B220" s="30" t="s">
        <v>102</v>
      </c>
      <c r="C220" s="43" t="s">
        <v>18</v>
      </c>
      <c r="D220" s="44"/>
      <c r="E220" s="23">
        <f>169820</f>
        <v>169820</v>
      </c>
    </row>
    <row r="221" spans="2:5" s="3" customFormat="1" ht="39.950000000000003" customHeight="1" x14ac:dyDescent="0.3">
      <c r="B221" s="52" t="s">
        <v>251</v>
      </c>
      <c r="C221" s="53"/>
      <c r="D221" s="53"/>
      <c r="E221" s="54"/>
    </row>
    <row r="222" spans="2:5" s="3" customFormat="1" ht="42" customHeight="1" x14ac:dyDescent="0.3">
      <c r="B222" s="31">
        <v>41033100</v>
      </c>
      <c r="C222" s="45" t="s">
        <v>262</v>
      </c>
      <c r="D222" s="45"/>
      <c r="E222" s="24">
        <f>E223</f>
        <v>46000000</v>
      </c>
    </row>
    <row r="223" spans="2:5" s="3" customFormat="1" ht="33" customHeight="1" x14ac:dyDescent="0.3">
      <c r="B223" s="29">
        <v>9900000000</v>
      </c>
      <c r="C223" s="43" t="s">
        <v>1</v>
      </c>
      <c r="D223" s="44"/>
      <c r="E223" s="23">
        <f>46000000</f>
        <v>46000000</v>
      </c>
    </row>
    <row r="224" spans="2:5" s="3" customFormat="1" ht="33" customHeight="1" x14ac:dyDescent="0.3">
      <c r="B224" s="31">
        <v>41033900</v>
      </c>
      <c r="C224" s="45" t="s">
        <v>241</v>
      </c>
      <c r="D224" s="45"/>
      <c r="E224" s="24">
        <f>E225</f>
        <v>1493300</v>
      </c>
    </row>
    <row r="225" spans="2:5" s="3" customFormat="1" ht="33" customHeight="1" x14ac:dyDescent="0.3">
      <c r="B225" s="29">
        <v>9900000000</v>
      </c>
      <c r="C225" s="43" t="s">
        <v>1</v>
      </c>
      <c r="D225" s="44"/>
      <c r="E225" s="23">
        <f>1493300</f>
        <v>1493300</v>
      </c>
    </row>
    <row r="226" spans="2:5" s="3" customFormat="1" ht="58.5" customHeight="1" x14ac:dyDescent="0.3">
      <c r="B226" s="31">
        <v>41037400</v>
      </c>
      <c r="C226" s="45" t="s">
        <v>250</v>
      </c>
      <c r="D226" s="45"/>
      <c r="E226" s="24">
        <f>E227</f>
        <v>853800</v>
      </c>
    </row>
    <row r="227" spans="2:5" s="3" customFormat="1" ht="33" customHeight="1" x14ac:dyDescent="0.3">
      <c r="B227" s="29">
        <v>9900000000</v>
      </c>
      <c r="C227" s="43" t="s">
        <v>1</v>
      </c>
      <c r="D227" s="44"/>
      <c r="E227" s="23">
        <f>544800+309000</f>
        <v>853800</v>
      </c>
    </row>
    <row r="228" spans="2:5" s="4" customFormat="1" ht="30" customHeight="1" x14ac:dyDescent="0.3">
      <c r="B228" s="27" t="s">
        <v>85</v>
      </c>
      <c r="C228" s="46" t="s">
        <v>97</v>
      </c>
      <c r="D228" s="47"/>
      <c r="E228" s="24">
        <f>E229+E230</f>
        <v>1858672658</v>
      </c>
    </row>
    <row r="229" spans="2:5" s="4" customFormat="1" ht="30" customHeight="1" x14ac:dyDescent="0.3">
      <c r="B229" s="27" t="s">
        <v>85</v>
      </c>
      <c r="C229" s="45" t="s">
        <v>69</v>
      </c>
      <c r="D229" s="45"/>
      <c r="E229" s="24">
        <f>E17+E25+E31+E39+E15+E29+E19+E37+E33+E23+E21+E35+E27</f>
        <v>1810325558</v>
      </c>
    </row>
    <row r="230" spans="2:5" s="4" customFormat="1" ht="30" customHeight="1" x14ac:dyDescent="0.3">
      <c r="B230" s="27" t="s">
        <v>85</v>
      </c>
      <c r="C230" s="45" t="s">
        <v>252</v>
      </c>
      <c r="D230" s="45"/>
      <c r="E230" s="24">
        <f>E226+E222+E224</f>
        <v>48347100</v>
      </c>
    </row>
    <row r="231" spans="2:5" ht="23.25" x14ac:dyDescent="0.35">
      <c r="B231" s="13"/>
      <c r="C231" s="13"/>
      <c r="D231" s="13"/>
      <c r="E231" s="13"/>
    </row>
  </sheetData>
  <sheetProtection selectLockedCells="1" selectUnlockedCells="1"/>
  <customSheetViews>
    <customSheetView guid="{C9A6F9B2-0582-46B8-BF5A-2A8D2AC01FE2}" scale="50" showPageBreaks="1" zeroValues="0" printArea="1" view="pageBreakPreview">
      <pane xSplit="3" ySplit="12" topLeftCell="D22" activePane="bottomRight" state="frozen"/>
      <selection pane="bottomRight" activeCell="D25" sqref="D25"/>
      <rowBreaks count="2" manualBreakCount="2">
        <brk id="247" max="3" man="1"/>
        <brk id="286" max="3" man="1"/>
      </rowBreaks>
      <pageMargins left="0.98425196850393704" right="0.59055118110236227" top="0.59055118110236227" bottom="0.59055118110236227" header="0.39370078740157483" footer="0.39370078740157483"/>
      <printOptions horizontalCentered="1"/>
      <pageSetup paperSize="9" scale="43" firstPageNumber="0" fitToWidth="0" fitToHeight="0" orientation="portrait" horizontalDpi="300" verticalDpi="300" r:id="rId1"/>
      <headerFooter differentFirst="1" scaleWithDoc="0" alignWithMargins="0">
        <oddHeader>&amp;C&amp;P</oddHeader>
      </headerFooter>
    </customSheetView>
    <customSheetView guid="{879B1E14-7CA4-4463-9C42-4E2586107585}" scale="50" showPageBreaks="1" zeroValues="0" printArea="1" view="pageBreakPreview">
      <pane xSplit="3" ySplit="12" topLeftCell="D245" activePane="bottomRight" state="frozen"/>
      <selection pane="bottomRight" activeCell="A253" sqref="A253:D254"/>
      <rowBreaks count="2" manualBreakCount="2">
        <brk id="247" max="3" man="1"/>
        <brk id="286" max="3" man="1"/>
      </rowBreaks>
      <pageMargins left="0.98425196850393704" right="0.59055118110236227" top="0.59055118110236227" bottom="0.59055118110236227" header="0.39370078740157483" footer="0.39370078740157483"/>
      <printOptions horizontalCentered="1"/>
      <pageSetup paperSize="9" scale="43" firstPageNumber="0" fitToWidth="0" fitToHeight="0" orientation="portrait" horizontalDpi="300" verticalDpi="300" r:id="rId2"/>
      <headerFooter differentFirst="1" scaleWithDoc="0" alignWithMargins="0">
        <oddHeader>&amp;C&amp;P</oddHeader>
      </headerFooter>
    </customSheetView>
    <customSheetView guid="{4644111A-82C5-489B-9E53-EB80700E535E}" scale="50" showPageBreaks="1" zeroValues="0" printArea="1" view="pageBreakPreview">
      <pane xSplit="3" ySplit="12" topLeftCell="D32" activePane="bottomRight" state="frozen"/>
      <selection pane="bottomRight" activeCell="D34" sqref="D34"/>
      <rowBreaks count="2" manualBreakCount="2">
        <brk id="247" max="3" man="1"/>
        <brk id="286" max="3" man="1"/>
      </rowBreaks>
      <pageMargins left="0.98425196850393704" right="0.59055118110236227" top="0.59055118110236227" bottom="0.59055118110236227" header="0.39370078740157483" footer="0.39370078740157483"/>
      <printOptions horizontalCentered="1"/>
      <pageSetup paperSize="9" scale="43" firstPageNumber="0" fitToWidth="0" fitToHeight="0" orientation="portrait" horizontalDpi="300" verticalDpi="300" r:id="rId3"/>
      <headerFooter differentFirst="1" scaleWithDoc="0" alignWithMargins="0">
        <oddHeader>&amp;C&amp;P</oddHeader>
      </headerFooter>
    </customSheetView>
  </customSheetViews>
  <mergeCells count="228">
    <mergeCell ref="C220:D220"/>
    <mergeCell ref="C219:D219"/>
    <mergeCell ref="C50:D50"/>
    <mergeCell ref="C58:D58"/>
    <mergeCell ref="C61:D61"/>
    <mergeCell ref="C51:D51"/>
    <mergeCell ref="C65:D65"/>
    <mergeCell ref="C64:D64"/>
    <mergeCell ref="C76:D76"/>
    <mergeCell ref="C117:D117"/>
    <mergeCell ref="C75:D75"/>
    <mergeCell ref="C52:D52"/>
    <mergeCell ref="C68:D68"/>
    <mergeCell ref="C89:D89"/>
    <mergeCell ref="C74:D74"/>
    <mergeCell ref="C55:D55"/>
    <mergeCell ref="C56:D56"/>
    <mergeCell ref="C81:D81"/>
    <mergeCell ref="C82:D82"/>
    <mergeCell ref="C93:D93"/>
    <mergeCell ref="C60:D60"/>
    <mergeCell ref="C62:D62"/>
    <mergeCell ref="C63:D63"/>
    <mergeCell ref="C66:D66"/>
    <mergeCell ref="C67:D67"/>
    <mergeCell ref="C70:D70"/>
    <mergeCell ref="C48:D48"/>
    <mergeCell ref="C54:D54"/>
    <mergeCell ref="C57:D57"/>
    <mergeCell ref="C124:D124"/>
    <mergeCell ref="C122:D122"/>
    <mergeCell ref="C118:D118"/>
    <mergeCell ref="C127:D127"/>
    <mergeCell ref="C121:D121"/>
    <mergeCell ref="C69:D69"/>
    <mergeCell ref="C72:D72"/>
    <mergeCell ref="C128:D128"/>
    <mergeCell ref="C80:D80"/>
    <mergeCell ref="C77:D77"/>
    <mergeCell ref="C79:D79"/>
    <mergeCell ref="C109:D109"/>
    <mergeCell ref="C90:D90"/>
    <mergeCell ref="C91:D91"/>
    <mergeCell ref="C108:D108"/>
    <mergeCell ref="C107:D107"/>
    <mergeCell ref="C85:D85"/>
    <mergeCell ref="C86:D86"/>
    <mergeCell ref="C100:D100"/>
    <mergeCell ref="C101:D101"/>
    <mergeCell ref="C78:D78"/>
    <mergeCell ref="C42:D42"/>
    <mergeCell ref="C31:D31"/>
    <mergeCell ref="C37:D37"/>
    <mergeCell ref="C38:D38"/>
    <mergeCell ref="C47:D47"/>
    <mergeCell ref="C33:D33"/>
    <mergeCell ref="C34:D34"/>
    <mergeCell ref="C44:D44"/>
    <mergeCell ref="C45:D45"/>
    <mergeCell ref="C35:D35"/>
    <mergeCell ref="C36:D36"/>
    <mergeCell ref="C26:D26"/>
    <mergeCell ref="C59:D59"/>
    <mergeCell ref="C53:D53"/>
    <mergeCell ref="C229:D229"/>
    <mergeCell ref="C228:D228"/>
    <mergeCell ref="C88:D88"/>
    <mergeCell ref="C139:D139"/>
    <mergeCell ref="C96:D96"/>
    <mergeCell ref="C102:D102"/>
    <mergeCell ref="C103:D103"/>
    <mergeCell ref="C104:D104"/>
    <mergeCell ref="C105:D105"/>
    <mergeCell ref="C97:D97"/>
    <mergeCell ref="C98:D98"/>
    <mergeCell ref="C99:D99"/>
    <mergeCell ref="C92:D92"/>
    <mergeCell ref="C95:D95"/>
    <mergeCell ref="C116:D116"/>
    <mergeCell ref="C110:D110"/>
    <mergeCell ref="C226:D226"/>
    <mergeCell ref="C227:D227"/>
    <mergeCell ref="B221:E221"/>
    <mergeCell ref="C71:D71"/>
    <mergeCell ref="C43:D43"/>
    <mergeCell ref="D1:E1"/>
    <mergeCell ref="C25:D25"/>
    <mergeCell ref="D2:E2"/>
    <mergeCell ref="B5:E5"/>
    <mergeCell ref="B8:E8"/>
    <mergeCell ref="E10:E12"/>
    <mergeCell ref="D3:E3"/>
    <mergeCell ref="B14:E14"/>
    <mergeCell ref="C6:D6"/>
    <mergeCell ref="C7:D7"/>
    <mergeCell ref="B10:B12"/>
    <mergeCell ref="C10:D12"/>
    <mergeCell ref="C13:D13"/>
    <mergeCell ref="C17:D17"/>
    <mergeCell ref="C18:D18"/>
    <mergeCell ref="C15:D15"/>
    <mergeCell ref="C19:D19"/>
    <mergeCell ref="C20:D20"/>
    <mergeCell ref="C16:D16"/>
    <mergeCell ref="C23:D23"/>
    <mergeCell ref="C24:D24"/>
    <mergeCell ref="C21:D21"/>
    <mergeCell ref="C22:D22"/>
    <mergeCell ref="C225:D225"/>
    <mergeCell ref="C223:D223"/>
    <mergeCell ref="C201:D201"/>
    <mergeCell ref="C204:D204"/>
    <mergeCell ref="C184:D184"/>
    <mergeCell ref="C113:D113"/>
    <mergeCell ref="C152:D152"/>
    <mergeCell ref="C133:D133"/>
    <mergeCell ref="C119:D119"/>
    <mergeCell ref="C166:D166"/>
    <mergeCell ref="C154:D154"/>
    <mergeCell ref="C159:D159"/>
    <mergeCell ref="C155:D155"/>
    <mergeCell ref="C153:D153"/>
    <mergeCell ref="C164:D164"/>
    <mergeCell ref="C158:D158"/>
    <mergeCell ref="C183:D183"/>
    <mergeCell ref="C149:D149"/>
    <mergeCell ref="C147:D147"/>
    <mergeCell ref="C168:D168"/>
    <mergeCell ref="C175:D175"/>
    <mergeCell ref="C174:D174"/>
    <mergeCell ref="C170:D170"/>
    <mergeCell ref="C171:D171"/>
    <mergeCell ref="C215:D215"/>
    <mergeCell ref="C216:D216"/>
    <mergeCell ref="C224:D224"/>
    <mergeCell ref="C73:D73"/>
    <mergeCell ref="C156:D156"/>
    <mergeCell ref="C160:D160"/>
    <mergeCell ref="C161:D161"/>
    <mergeCell ref="C157:D157"/>
    <mergeCell ref="C112:D112"/>
    <mergeCell ref="C134:D134"/>
    <mergeCell ref="C115:D115"/>
    <mergeCell ref="C165:D165"/>
    <mergeCell ref="C84:D84"/>
    <mergeCell ref="C87:D87"/>
    <mergeCell ref="C135:D135"/>
    <mergeCell ref="C141:D141"/>
    <mergeCell ref="C125:D125"/>
    <mergeCell ref="C126:D126"/>
    <mergeCell ref="C120:D120"/>
    <mergeCell ref="C123:D123"/>
    <mergeCell ref="C111:D111"/>
    <mergeCell ref="C169:D169"/>
    <mergeCell ref="C172:D172"/>
    <mergeCell ref="C106:D106"/>
    <mergeCell ref="C230:D230"/>
    <mergeCell ref="C213:D213"/>
    <mergeCell ref="C214:D214"/>
    <mergeCell ref="C212:D212"/>
    <mergeCell ref="C185:D185"/>
    <mergeCell ref="C208:D208"/>
    <mergeCell ref="C181:D181"/>
    <mergeCell ref="C189:D189"/>
    <mergeCell ref="C192:D192"/>
    <mergeCell ref="C197:D197"/>
    <mergeCell ref="C195:D195"/>
    <mergeCell ref="C196:D196"/>
    <mergeCell ref="C202:D202"/>
    <mergeCell ref="C200:D200"/>
    <mergeCell ref="C206:D206"/>
    <mergeCell ref="C211:D211"/>
    <mergeCell ref="C222:D222"/>
    <mergeCell ref="C218:D218"/>
    <mergeCell ref="C217:D217"/>
    <mergeCell ref="C207:D207"/>
    <mergeCell ref="C209:D209"/>
    <mergeCell ref="C210:D210"/>
    <mergeCell ref="C198:D198"/>
    <mergeCell ref="C205:D205"/>
    <mergeCell ref="C27:D27"/>
    <mergeCell ref="C28:D28"/>
    <mergeCell ref="C83:D83"/>
    <mergeCell ref="C150:D150"/>
    <mergeCell ref="C151:D151"/>
    <mergeCell ref="C129:D129"/>
    <mergeCell ref="C130:D130"/>
    <mergeCell ref="C137:D137"/>
    <mergeCell ref="C140:D140"/>
    <mergeCell ref="C131:D131"/>
    <mergeCell ref="C132:D132"/>
    <mergeCell ref="C145:D145"/>
    <mergeCell ref="C138:D138"/>
    <mergeCell ref="C114:D114"/>
    <mergeCell ref="C136:D136"/>
    <mergeCell ref="C94:D94"/>
    <mergeCell ref="C29:D29"/>
    <mergeCell ref="C30:D30"/>
    <mergeCell ref="C46:D46"/>
    <mergeCell ref="C49:D49"/>
    <mergeCell ref="C32:D32"/>
    <mergeCell ref="C39:D39"/>
    <mergeCell ref="C40:D40"/>
    <mergeCell ref="C41:D41"/>
    <mergeCell ref="C142:D142"/>
    <mergeCell ref="C143:D143"/>
    <mergeCell ref="C144:D144"/>
    <mergeCell ref="C146:D146"/>
    <mergeCell ref="C148:D148"/>
    <mergeCell ref="C199:D199"/>
    <mergeCell ref="C203:D203"/>
    <mergeCell ref="C182:D182"/>
    <mergeCell ref="C162:D162"/>
    <mergeCell ref="C188:D188"/>
    <mergeCell ref="C191:D191"/>
    <mergeCell ref="C167:D167"/>
    <mergeCell ref="C180:D180"/>
    <mergeCell ref="C173:D173"/>
    <mergeCell ref="C178:D178"/>
    <mergeCell ref="C190:D190"/>
    <mergeCell ref="C194:D194"/>
    <mergeCell ref="C193:D193"/>
    <mergeCell ref="C179:D179"/>
    <mergeCell ref="C176:D176"/>
    <mergeCell ref="C187:D187"/>
    <mergeCell ref="C186:D186"/>
    <mergeCell ref="C163:D163"/>
    <mergeCell ref="C177:D177"/>
  </mergeCells>
  <printOptions horizontalCentered="1"/>
  <pageMargins left="0.98425196850393704" right="0.39370078740157483" top="0.78740157480314965" bottom="0.78740157480314965" header="0.39370078740157483" footer="0.39370078740157483"/>
  <pageSetup paperSize="9" scale="61" firstPageNumber="0" fitToWidth="0" fitToHeight="0" orientation="portrait" verticalDpi="300" r:id="rId4"/>
  <headerFooter differentFirst="1" scaleWithDoc="0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5"/>
  <sheetViews>
    <sheetView showZeros="0" tabSelected="1" view="pageBreakPreview" topLeftCell="A336" zoomScale="73" zoomScaleNormal="50" zoomScaleSheetLayoutView="73" workbookViewId="0">
      <selection activeCell="F353" sqref="F353:I353"/>
    </sheetView>
  </sheetViews>
  <sheetFormatPr defaultColWidth="9.140625" defaultRowHeight="18.75" x14ac:dyDescent="0.3"/>
  <cols>
    <col min="1" max="1" width="21.28515625" style="1" customWidth="1"/>
    <col min="2" max="2" width="21.140625" style="3" customWidth="1"/>
    <col min="3" max="3" width="72.42578125" style="1" customWidth="1"/>
    <col min="4" max="4" width="21.28515625" style="1" customWidth="1"/>
    <col min="5" max="5" width="25.85546875" style="5" customWidth="1"/>
    <col min="6" max="7" width="23.42578125" style="5" customWidth="1"/>
    <col min="8" max="8" width="25.7109375" style="5" customWidth="1"/>
    <col min="9" max="9" width="25.42578125" style="5" customWidth="1"/>
    <col min="10" max="10" width="26.7109375" style="1" bestFit="1" customWidth="1"/>
    <col min="11" max="11" width="21" style="1" customWidth="1"/>
    <col min="12" max="16384" width="9.140625" style="1"/>
  </cols>
  <sheetData>
    <row r="1" spans="1:9" x14ac:dyDescent="0.3">
      <c r="F1" s="104" t="s">
        <v>120</v>
      </c>
      <c r="G1" s="104"/>
      <c r="H1" s="104"/>
      <c r="I1" s="104"/>
    </row>
    <row r="2" spans="1:9" x14ac:dyDescent="0.3">
      <c r="F2" s="104"/>
      <c r="G2" s="104"/>
      <c r="H2" s="104"/>
      <c r="I2" s="104"/>
    </row>
    <row r="3" spans="1:9" ht="22.5" x14ac:dyDescent="0.3">
      <c r="A3" s="105" t="s">
        <v>70</v>
      </c>
      <c r="B3" s="105"/>
      <c r="C3" s="105"/>
      <c r="D3" s="105"/>
      <c r="E3" s="105"/>
      <c r="F3" s="105"/>
      <c r="G3" s="105"/>
      <c r="H3" s="105"/>
      <c r="I3" s="105"/>
    </row>
    <row r="4" spans="1:9" x14ac:dyDescent="0.3">
      <c r="E4" s="37"/>
      <c r="F4" s="37"/>
      <c r="G4" s="37"/>
      <c r="H4" s="37"/>
      <c r="I4" s="37" t="s">
        <v>84</v>
      </c>
    </row>
    <row r="5" spans="1:9" x14ac:dyDescent="0.3">
      <c r="A5" s="51" t="s">
        <v>220</v>
      </c>
      <c r="B5" s="51" t="s">
        <v>71</v>
      </c>
      <c r="C5" s="51" t="s">
        <v>221</v>
      </c>
      <c r="D5" s="51"/>
      <c r="E5" s="106" t="s">
        <v>68</v>
      </c>
      <c r="F5" s="107" t="s">
        <v>4</v>
      </c>
      <c r="G5" s="108"/>
      <c r="H5" s="108"/>
      <c r="I5" s="109"/>
    </row>
    <row r="6" spans="1:9" ht="18.75" customHeight="1" x14ac:dyDescent="0.3">
      <c r="A6" s="51" t="s">
        <v>2</v>
      </c>
      <c r="B6" s="51"/>
      <c r="C6" s="51"/>
      <c r="D6" s="51"/>
      <c r="E6" s="106"/>
      <c r="F6" s="110"/>
      <c r="G6" s="111"/>
      <c r="H6" s="111"/>
      <c r="I6" s="112"/>
    </row>
    <row r="7" spans="1:9" ht="18.75" customHeight="1" x14ac:dyDescent="0.3">
      <c r="A7" s="51"/>
      <c r="B7" s="51"/>
      <c r="C7" s="51"/>
      <c r="D7" s="51"/>
      <c r="E7" s="106"/>
      <c r="F7" s="110"/>
      <c r="G7" s="111"/>
      <c r="H7" s="111"/>
      <c r="I7" s="112"/>
    </row>
    <row r="8" spans="1:9" ht="66" customHeight="1" x14ac:dyDescent="0.3">
      <c r="A8" s="51"/>
      <c r="B8" s="51"/>
      <c r="C8" s="51"/>
      <c r="D8" s="51"/>
      <c r="E8" s="106"/>
      <c r="F8" s="110"/>
      <c r="G8" s="111"/>
      <c r="H8" s="111"/>
      <c r="I8" s="112"/>
    </row>
    <row r="9" spans="1:9" ht="5.25" customHeight="1" x14ac:dyDescent="0.3">
      <c r="A9" s="51"/>
      <c r="B9" s="51"/>
      <c r="C9" s="51"/>
      <c r="D9" s="51"/>
      <c r="E9" s="106"/>
      <c r="F9" s="113"/>
      <c r="G9" s="114"/>
      <c r="H9" s="114"/>
      <c r="I9" s="115"/>
    </row>
    <row r="10" spans="1:9" ht="18.75" customHeight="1" x14ac:dyDescent="0.3">
      <c r="A10" s="36" t="s">
        <v>72</v>
      </c>
      <c r="B10" s="36">
        <v>2</v>
      </c>
      <c r="C10" s="51">
        <v>3</v>
      </c>
      <c r="D10" s="51"/>
      <c r="E10" s="14">
        <v>4</v>
      </c>
      <c r="F10" s="116">
        <v>5</v>
      </c>
      <c r="G10" s="117"/>
      <c r="H10" s="117"/>
      <c r="I10" s="118"/>
    </row>
    <row r="11" spans="1:9" ht="24" customHeight="1" x14ac:dyDescent="0.3">
      <c r="A11" s="52" t="s">
        <v>75</v>
      </c>
      <c r="B11" s="53"/>
      <c r="C11" s="53"/>
      <c r="D11" s="53"/>
      <c r="E11" s="53"/>
      <c r="F11" s="53"/>
      <c r="G11" s="53"/>
      <c r="H11" s="53"/>
      <c r="I11" s="54"/>
    </row>
    <row r="12" spans="1:9" s="4" customFormat="1" ht="40.5" customHeight="1" x14ac:dyDescent="0.3">
      <c r="A12" s="58"/>
      <c r="B12" s="58"/>
      <c r="C12" s="59" t="s">
        <v>123</v>
      </c>
      <c r="D12" s="59"/>
      <c r="E12" s="18"/>
      <c r="F12" s="100"/>
      <c r="G12" s="100"/>
      <c r="H12" s="100"/>
      <c r="I12" s="100"/>
    </row>
    <row r="13" spans="1:9" ht="33.75" customHeight="1" x14ac:dyDescent="0.3">
      <c r="A13" s="33">
        <v>3719110</v>
      </c>
      <c r="B13" s="16">
        <v>9110</v>
      </c>
      <c r="C13" s="46" t="s">
        <v>122</v>
      </c>
      <c r="D13" s="47"/>
      <c r="E13" s="21">
        <f>E14</f>
        <v>948849700</v>
      </c>
      <c r="F13" s="97" t="s">
        <v>86</v>
      </c>
      <c r="G13" s="98"/>
      <c r="H13" s="98"/>
      <c r="I13" s="99"/>
    </row>
    <row r="14" spans="1:9" s="6" customFormat="1" ht="33" customHeight="1" x14ac:dyDescent="0.3">
      <c r="A14" s="11">
        <v>9900000000</v>
      </c>
      <c r="B14" s="36"/>
      <c r="C14" s="40" t="s">
        <v>1</v>
      </c>
      <c r="D14" s="40"/>
      <c r="E14" s="22">
        <f>948849700</f>
        <v>948849700</v>
      </c>
      <c r="F14" s="91">
        <f>E14</f>
        <v>948849700</v>
      </c>
      <c r="G14" s="92"/>
      <c r="H14" s="92"/>
      <c r="I14" s="93"/>
    </row>
    <row r="15" spans="1:9" s="4" customFormat="1" ht="40.5" customHeight="1" x14ac:dyDescent="0.3">
      <c r="A15" s="58"/>
      <c r="B15" s="58"/>
      <c r="C15" s="59" t="s">
        <v>123</v>
      </c>
      <c r="D15" s="59"/>
      <c r="E15" s="20"/>
      <c r="F15" s="100"/>
      <c r="G15" s="100"/>
      <c r="H15" s="100"/>
      <c r="I15" s="100"/>
    </row>
    <row r="16" spans="1:9" ht="33.75" customHeight="1" x14ac:dyDescent="0.3">
      <c r="A16" s="33" t="s">
        <v>81</v>
      </c>
      <c r="B16" s="16">
        <v>9150</v>
      </c>
      <c r="C16" s="46" t="s">
        <v>82</v>
      </c>
      <c r="D16" s="47"/>
      <c r="E16" s="21">
        <f>SUM(E17:E20)</f>
        <v>200000000</v>
      </c>
      <c r="F16" s="97" t="s">
        <v>86</v>
      </c>
      <c r="G16" s="98"/>
      <c r="H16" s="98"/>
      <c r="I16" s="99"/>
    </row>
    <row r="17" spans="1:9" s="6" customFormat="1" ht="33" customHeight="1" x14ac:dyDescent="0.3">
      <c r="A17" s="12">
        <v>410000000</v>
      </c>
      <c r="B17" s="33"/>
      <c r="C17" s="45" t="s">
        <v>0</v>
      </c>
      <c r="D17" s="45"/>
      <c r="E17" s="21">
        <f>200000000-8000000-12000000-4000000</f>
        <v>176000000</v>
      </c>
      <c r="F17" s="87">
        <f>E17</f>
        <v>176000000</v>
      </c>
      <c r="G17" s="96"/>
      <c r="H17" s="96"/>
      <c r="I17" s="88"/>
    </row>
    <row r="18" spans="1:9" ht="33" customHeight="1" x14ac:dyDescent="0.3">
      <c r="A18" s="11">
        <v>457600000</v>
      </c>
      <c r="B18" s="36"/>
      <c r="C18" s="40" t="s">
        <v>16</v>
      </c>
      <c r="D18" s="40"/>
      <c r="E18" s="22">
        <f t="shared" ref="E18" si="0">F18+H18</f>
        <v>12000000</v>
      </c>
      <c r="F18" s="64">
        <f>12000000</f>
        <v>12000000</v>
      </c>
      <c r="G18" s="65"/>
      <c r="H18" s="65"/>
      <c r="I18" s="66"/>
    </row>
    <row r="19" spans="1:9" ht="33" customHeight="1" x14ac:dyDescent="0.3">
      <c r="A19" s="11">
        <v>458100000</v>
      </c>
      <c r="B19" s="36"/>
      <c r="C19" s="40" t="s">
        <v>20</v>
      </c>
      <c r="D19" s="40"/>
      <c r="E19" s="23">
        <f>8000000</f>
        <v>8000000</v>
      </c>
      <c r="F19" s="91">
        <f>E19</f>
        <v>8000000</v>
      </c>
      <c r="G19" s="92"/>
      <c r="H19" s="92"/>
      <c r="I19" s="93"/>
    </row>
    <row r="20" spans="1:9" ht="33" customHeight="1" x14ac:dyDescent="0.3">
      <c r="A20" s="11">
        <v>456200000</v>
      </c>
      <c r="B20" s="36"/>
      <c r="C20" s="40" t="s">
        <v>29</v>
      </c>
      <c r="D20" s="40"/>
      <c r="E20" s="23">
        <f t="shared" ref="E20" si="1">F20</f>
        <v>4000000</v>
      </c>
      <c r="F20" s="91">
        <f>4000000</f>
        <v>4000000</v>
      </c>
      <c r="G20" s="92"/>
      <c r="H20" s="92"/>
      <c r="I20" s="93"/>
    </row>
    <row r="21" spans="1:9" ht="38.25" customHeight="1" x14ac:dyDescent="0.3">
      <c r="A21" s="85"/>
      <c r="B21" s="85"/>
      <c r="C21" s="59" t="s">
        <v>124</v>
      </c>
      <c r="D21" s="59"/>
      <c r="E21" s="20"/>
      <c r="F21" s="86"/>
      <c r="G21" s="86"/>
      <c r="H21" s="86"/>
      <c r="I21" s="86"/>
    </row>
    <row r="22" spans="1:9" ht="114" customHeight="1" x14ac:dyDescent="0.3">
      <c r="A22" s="38" t="s">
        <v>73</v>
      </c>
      <c r="B22" s="39">
        <v>9270</v>
      </c>
      <c r="C22" s="78" t="s">
        <v>78</v>
      </c>
      <c r="D22" s="79"/>
      <c r="E22" s="21">
        <f>SUM(E23:E32)</f>
        <v>9574500</v>
      </c>
      <c r="F22" s="61" t="s">
        <v>86</v>
      </c>
      <c r="G22" s="62"/>
      <c r="H22" s="62"/>
      <c r="I22" s="63"/>
    </row>
    <row r="23" spans="1:9" s="6" customFormat="1" ht="33" customHeight="1" x14ac:dyDescent="0.3">
      <c r="A23" s="12">
        <v>410000000</v>
      </c>
      <c r="B23" s="33"/>
      <c r="C23" s="45" t="s">
        <v>0</v>
      </c>
      <c r="D23" s="45"/>
      <c r="E23" s="21">
        <f>F23</f>
        <v>1212701</v>
      </c>
      <c r="F23" s="67">
        <f>9574500-8361799</f>
        <v>1212701</v>
      </c>
      <c r="G23" s="95"/>
      <c r="H23" s="95"/>
      <c r="I23" s="68"/>
    </row>
    <row r="24" spans="1:9" ht="33" customHeight="1" x14ac:dyDescent="0.3">
      <c r="A24" s="11">
        <v>457100000</v>
      </c>
      <c r="B24" s="36"/>
      <c r="C24" s="40" t="s">
        <v>100</v>
      </c>
      <c r="D24" s="40"/>
      <c r="E24" s="23">
        <f>F24</f>
        <v>1180032</v>
      </c>
      <c r="F24" s="91">
        <f>1180032</f>
        <v>1180032</v>
      </c>
      <c r="G24" s="92"/>
      <c r="H24" s="92"/>
      <c r="I24" s="93"/>
    </row>
    <row r="25" spans="1:9" ht="33" customHeight="1" x14ac:dyDescent="0.3">
      <c r="A25" s="11">
        <v>457810000</v>
      </c>
      <c r="B25" s="36"/>
      <c r="C25" s="40" t="s">
        <v>18</v>
      </c>
      <c r="D25" s="40"/>
      <c r="E25" s="23">
        <f t="shared" ref="E25:E32" si="2">F25</f>
        <v>992140</v>
      </c>
      <c r="F25" s="91">
        <f>992140</f>
        <v>992140</v>
      </c>
      <c r="G25" s="92"/>
      <c r="H25" s="92"/>
      <c r="I25" s="93"/>
    </row>
    <row r="26" spans="1:9" ht="33" customHeight="1" x14ac:dyDescent="0.3">
      <c r="A26" s="11">
        <v>456200000</v>
      </c>
      <c r="B26" s="36"/>
      <c r="C26" s="40" t="s">
        <v>29</v>
      </c>
      <c r="D26" s="40"/>
      <c r="E26" s="23">
        <f t="shared" si="2"/>
        <v>1137888</v>
      </c>
      <c r="F26" s="91">
        <f>1137888</f>
        <v>1137888</v>
      </c>
      <c r="G26" s="92"/>
      <c r="H26" s="92"/>
      <c r="I26" s="93"/>
    </row>
    <row r="27" spans="1:9" ht="33" customHeight="1" x14ac:dyDescent="0.3">
      <c r="A27" s="11">
        <v>450200000</v>
      </c>
      <c r="B27" s="36"/>
      <c r="C27" s="40" t="s">
        <v>31</v>
      </c>
      <c r="D27" s="40"/>
      <c r="E27" s="23">
        <f t="shared" si="2"/>
        <v>1101246</v>
      </c>
      <c r="F27" s="91">
        <f>1101246</f>
        <v>1101246</v>
      </c>
      <c r="G27" s="92"/>
      <c r="H27" s="92"/>
      <c r="I27" s="93"/>
    </row>
    <row r="28" spans="1:9" ht="33" customHeight="1" x14ac:dyDescent="0.3">
      <c r="A28" s="11" t="s">
        <v>133</v>
      </c>
      <c r="B28" s="36"/>
      <c r="C28" s="43" t="s">
        <v>131</v>
      </c>
      <c r="D28" s="44"/>
      <c r="E28" s="23">
        <f t="shared" si="2"/>
        <v>1138110</v>
      </c>
      <c r="F28" s="91">
        <f>1138110</f>
        <v>1138110</v>
      </c>
      <c r="G28" s="92"/>
      <c r="H28" s="92"/>
      <c r="I28" s="93"/>
    </row>
    <row r="29" spans="1:9" ht="33" customHeight="1" x14ac:dyDescent="0.3">
      <c r="A29" s="11">
        <v>454400000</v>
      </c>
      <c r="B29" s="36"/>
      <c r="C29" s="40" t="s">
        <v>79</v>
      </c>
      <c r="D29" s="40"/>
      <c r="E29" s="23">
        <f t="shared" si="2"/>
        <v>546453</v>
      </c>
      <c r="F29" s="91">
        <f>546453</f>
        <v>546453</v>
      </c>
      <c r="G29" s="92"/>
      <c r="H29" s="92"/>
      <c r="I29" s="93"/>
    </row>
    <row r="30" spans="1:9" ht="33" customHeight="1" x14ac:dyDescent="0.3">
      <c r="A30" s="11">
        <v>454300000</v>
      </c>
      <c r="B30" s="36"/>
      <c r="C30" s="40" t="s">
        <v>56</v>
      </c>
      <c r="D30" s="40"/>
      <c r="E30" s="23">
        <f t="shared" si="2"/>
        <v>1053600</v>
      </c>
      <c r="F30" s="91">
        <f>1053600</f>
        <v>1053600</v>
      </c>
      <c r="G30" s="92"/>
      <c r="H30" s="92"/>
      <c r="I30" s="93"/>
    </row>
    <row r="31" spans="1:9" ht="33" customHeight="1" x14ac:dyDescent="0.3">
      <c r="A31" s="11">
        <v>454600000</v>
      </c>
      <c r="B31" s="36"/>
      <c r="C31" s="40" t="s">
        <v>57</v>
      </c>
      <c r="D31" s="40"/>
      <c r="E31" s="23">
        <f t="shared" si="2"/>
        <v>1032750</v>
      </c>
      <c r="F31" s="91">
        <f>1032750</f>
        <v>1032750</v>
      </c>
      <c r="G31" s="92"/>
      <c r="H31" s="92"/>
      <c r="I31" s="93"/>
    </row>
    <row r="32" spans="1:9" s="2" customFormat="1" ht="33" customHeight="1" x14ac:dyDescent="0.3">
      <c r="A32" s="11">
        <v>451300000</v>
      </c>
      <c r="B32" s="36"/>
      <c r="C32" s="40" t="s">
        <v>38</v>
      </c>
      <c r="D32" s="40"/>
      <c r="E32" s="23">
        <f t="shared" si="2"/>
        <v>179580</v>
      </c>
      <c r="F32" s="91">
        <f>179580</f>
        <v>179580</v>
      </c>
      <c r="G32" s="92"/>
      <c r="H32" s="92"/>
      <c r="I32" s="93"/>
    </row>
    <row r="33" spans="1:9" ht="38.25" customHeight="1" x14ac:dyDescent="0.3">
      <c r="A33" s="85"/>
      <c r="B33" s="85"/>
      <c r="C33" s="45" t="s">
        <v>254</v>
      </c>
      <c r="D33" s="45"/>
      <c r="E33" s="20"/>
      <c r="F33" s="86"/>
      <c r="G33" s="86"/>
      <c r="H33" s="86"/>
      <c r="I33" s="86"/>
    </row>
    <row r="34" spans="1:9" ht="123.75" customHeight="1" x14ac:dyDescent="0.3">
      <c r="A34" s="89">
        <v>5119245</v>
      </c>
      <c r="B34" s="76">
        <v>9245</v>
      </c>
      <c r="C34" s="78" t="s">
        <v>255</v>
      </c>
      <c r="D34" s="79"/>
      <c r="E34" s="82">
        <f>SUM(E36:E107)</f>
        <v>56319144</v>
      </c>
      <c r="F34" s="87" t="s">
        <v>282</v>
      </c>
      <c r="G34" s="88"/>
      <c r="H34" s="87" t="s">
        <v>283</v>
      </c>
      <c r="I34" s="88"/>
    </row>
    <row r="35" spans="1:9" ht="35.25" customHeight="1" x14ac:dyDescent="0.3">
      <c r="A35" s="90"/>
      <c r="B35" s="77"/>
      <c r="C35" s="80"/>
      <c r="D35" s="81"/>
      <c r="E35" s="83"/>
      <c r="F35" s="67">
        <f>SUM(F36:G107)</f>
        <v>56117734</v>
      </c>
      <c r="G35" s="68"/>
      <c r="H35" s="67">
        <f>SUM(H36:I107)</f>
        <v>201410</v>
      </c>
      <c r="I35" s="68"/>
    </row>
    <row r="36" spans="1:9" s="6" customFormat="1" ht="33" customHeight="1" x14ac:dyDescent="0.3">
      <c r="A36" s="12">
        <v>410000000</v>
      </c>
      <c r="B36" s="33"/>
      <c r="C36" s="45" t="s">
        <v>0</v>
      </c>
      <c r="D36" s="45"/>
      <c r="E36" s="21">
        <f>F36+H36</f>
        <v>499426</v>
      </c>
      <c r="F36" s="67">
        <v>499426</v>
      </c>
      <c r="G36" s="68"/>
      <c r="H36" s="67"/>
      <c r="I36" s="68"/>
    </row>
    <row r="37" spans="1:9" ht="33" customHeight="1" x14ac:dyDescent="0.3">
      <c r="A37" s="11">
        <v>457400000</v>
      </c>
      <c r="B37" s="36"/>
      <c r="C37" s="43" t="s">
        <v>14</v>
      </c>
      <c r="D37" s="44"/>
      <c r="E37" s="22">
        <f t="shared" ref="E37:E97" si="3">F37+H37</f>
        <v>400317</v>
      </c>
      <c r="F37" s="57">
        <v>400317</v>
      </c>
      <c r="G37" s="57"/>
      <c r="H37" s="57"/>
      <c r="I37" s="57"/>
    </row>
    <row r="38" spans="1:9" ht="33" customHeight="1" x14ac:dyDescent="0.3">
      <c r="A38" s="11">
        <v>457600000</v>
      </c>
      <c r="B38" s="36"/>
      <c r="C38" s="40" t="s">
        <v>16</v>
      </c>
      <c r="D38" s="40"/>
      <c r="E38" s="22">
        <f t="shared" si="3"/>
        <v>2181936</v>
      </c>
      <c r="F38" s="57">
        <f>1998694</f>
        <v>1998694</v>
      </c>
      <c r="G38" s="57"/>
      <c r="H38" s="57">
        <f>183242</f>
        <v>183242</v>
      </c>
      <c r="I38" s="57"/>
    </row>
    <row r="39" spans="1:9" ht="33" customHeight="1" x14ac:dyDescent="0.3">
      <c r="A39" s="11">
        <v>457700000</v>
      </c>
      <c r="B39" s="36"/>
      <c r="C39" s="40" t="s">
        <v>17</v>
      </c>
      <c r="D39" s="40"/>
      <c r="E39" s="22">
        <f t="shared" si="3"/>
        <v>2401897</v>
      </c>
      <c r="F39" s="57">
        <v>2401897</v>
      </c>
      <c r="G39" s="57"/>
      <c r="H39" s="57"/>
      <c r="I39" s="57"/>
    </row>
    <row r="40" spans="1:9" ht="33" customHeight="1" x14ac:dyDescent="0.3">
      <c r="A40" s="11">
        <v>457100000</v>
      </c>
      <c r="B40" s="36"/>
      <c r="C40" s="40" t="s">
        <v>100</v>
      </c>
      <c r="D40" s="40"/>
      <c r="E40" s="22">
        <f t="shared" si="3"/>
        <v>2437148</v>
      </c>
      <c r="F40" s="57">
        <f>2418980</f>
        <v>2418980</v>
      </c>
      <c r="G40" s="57"/>
      <c r="H40" s="57">
        <f>18168</f>
        <v>18168</v>
      </c>
      <c r="I40" s="57"/>
    </row>
    <row r="41" spans="1:9" ht="33" customHeight="1" x14ac:dyDescent="0.3">
      <c r="A41" s="11">
        <v>457810000</v>
      </c>
      <c r="B41" s="36"/>
      <c r="C41" s="40" t="s">
        <v>18</v>
      </c>
      <c r="D41" s="40"/>
      <c r="E41" s="22">
        <f t="shared" si="3"/>
        <v>5416526</v>
      </c>
      <c r="F41" s="57">
        <v>5416526</v>
      </c>
      <c r="G41" s="57"/>
      <c r="H41" s="57"/>
      <c r="I41" s="57"/>
    </row>
    <row r="42" spans="1:9" ht="33" customHeight="1" x14ac:dyDescent="0.3">
      <c r="A42" s="11">
        <v>456100000</v>
      </c>
      <c r="B42" s="36"/>
      <c r="C42" s="40" t="s">
        <v>28</v>
      </c>
      <c r="D42" s="40"/>
      <c r="E42" s="22">
        <f t="shared" si="3"/>
        <v>1383837</v>
      </c>
      <c r="F42" s="57">
        <v>1383837</v>
      </c>
      <c r="G42" s="57"/>
      <c r="H42" s="57"/>
      <c r="I42" s="57"/>
    </row>
    <row r="43" spans="1:9" ht="33" customHeight="1" x14ac:dyDescent="0.3">
      <c r="A43" s="11">
        <v>458100000</v>
      </c>
      <c r="B43" s="36"/>
      <c r="C43" s="40" t="s">
        <v>20</v>
      </c>
      <c r="D43" s="40"/>
      <c r="E43" s="22">
        <f t="shared" si="3"/>
        <v>1200965</v>
      </c>
      <c r="F43" s="57">
        <v>1200965</v>
      </c>
      <c r="G43" s="57"/>
      <c r="H43" s="57"/>
      <c r="I43" s="57"/>
    </row>
    <row r="44" spans="1:9" ht="33" customHeight="1" x14ac:dyDescent="0.3">
      <c r="A44" s="11">
        <v>458400000</v>
      </c>
      <c r="B44" s="36"/>
      <c r="C44" s="40" t="s">
        <v>22</v>
      </c>
      <c r="D44" s="40"/>
      <c r="E44" s="22">
        <f t="shared" si="3"/>
        <v>1292303</v>
      </c>
      <c r="F44" s="57">
        <v>1292303</v>
      </c>
      <c r="G44" s="57"/>
      <c r="H44" s="57"/>
      <c r="I44" s="57"/>
    </row>
    <row r="45" spans="1:9" ht="33" customHeight="1" x14ac:dyDescent="0.3">
      <c r="A45" s="11">
        <v>456200000</v>
      </c>
      <c r="B45" s="36"/>
      <c r="C45" s="40" t="s">
        <v>29</v>
      </c>
      <c r="D45" s="40"/>
      <c r="E45" s="22">
        <f t="shared" si="3"/>
        <v>934079</v>
      </c>
      <c r="F45" s="57">
        <v>934079</v>
      </c>
      <c r="G45" s="57"/>
      <c r="H45" s="57"/>
      <c r="I45" s="57"/>
    </row>
    <row r="46" spans="1:9" ht="33" customHeight="1" x14ac:dyDescent="0.3">
      <c r="A46" s="11">
        <v>458200000</v>
      </c>
      <c r="B46" s="36"/>
      <c r="C46" s="40" t="s">
        <v>234</v>
      </c>
      <c r="D46" s="40"/>
      <c r="E46" s="22">
        <f t="shared" si="3"/>
        <v>2123401</v>
      </c>
      <c r="F46" s="57">
        <v>2123401</v>
      </c>
      <c r="G46" s="57"/>
      <c r="H46" s="57"/>
      <c r="I46" s="57"/>
    </row>
    <row r="47" spans="1:9" ht="33" customHeight="1" x14ac:dyDescent="0.3">
      <c r="A47" s="11">
        <v>458900000</v>
      </c>
      <c r="B47" s="36"/>
      <c r="C47" s="40" t="s">
        <v>26</v>
      </c>
      <c r="D47" s="40"/>
      <c r="E47" s="22">
        <f t="shared" si="3"/>
        <v>1814604</v>
      </c>
      <c r="F47" s="57">
        <v>1814604</v>
      </c>
      <c r="G47" s="57"/>
      <c r="H47" s="57"/>
      <c r="I47" s="57"/>
    </row>
    <row r="48" spans="1:9" ht="33" customHeight="1" x14ac:dyDescent="0.3">
      <c r="A48" s="11">
        <v>459100000</v>
      </c>
      <c r="B48" s="36"/>
      <c r="C48" s="40" t="s">
        <v>27</v>
      </c>
      <c r="D48" s="40"/>
      <c r="E48" s="22">
        <f t="shared" si="3"/>
        <v>400317</v>
      </c>
      <c r="F48" s="57">
        <v>400317</v>
      </c>
      <c r="G48" s="57"/>
      <c r="H48" s="57"/>
      <c r="I48" s="57"/>
    </row>
    <row r="49" spans="1:9" ht="33" customHeight="1" x14ac:dyDescent="0.3">
      <c r="A49" s="11">
        <v>458500000</v>
      </c>
      <c r="B49" s="36"/>
      <c r="C49" s="40" t="s">
        <v>238</v>
      </c>
      <c r="D49" s="40"/>
      <c r="E49" s="22">
        <f t="shared" si="3"/>
        <v>400318</v>
      </c>
      <c r="F49" s="57">
        <v>400318</v>
      </c>
      <c r="G49" s="57"/>
      <c r="H49" s="57"/>
      <c r="I49" s="57"/>
    </row>
    <row r="50" spans="1:9" ht="33" customHeight="1" x14ac:dyDescent="0.3">
      <c r="A50" s="11">
        <v>450100000</v>
      </c>
      <c r="B50" s="36"/>
      <c r="C50" s="40" t="s">
        <v>30</v>
      </c>
      <c r="D50" s="40"/>
      <c r="E50" s="22">
        <f t="shared" si="3"/>
        <v>491729</v>
      </c>
      <c r="F50" s="57">
        <v>491729</v>
      </c>
      <c r="G50" s="57"/>
      <c r="H50" s="57"/>
      <c r="I50" s="57"/>
    </row>
    <row r="51" spans="1:9" ht="33" customHeight="1" x14ac:dyDescent="0.3">
      <c r="A51" s="11">
        <v>450200000</v>
      </c>
      <c r="B51" s="36"/>
      <c r="C51" s="40" t="s">
        <v>31</v>
      </c>
      <c r="D51" s="40"/>
      <c r="E51" s="22">
        <f t="shared" si="3"/>
        <v>366957</v>
      </c>
      <c r="F51" s="57">
        <v>366957</v>
      </c>
      <c r="G51" s="57"/>
      <c r="H51" s="57"/>
      <c r="I51" s="57"/>
    </row>
    <row r="52" spans="1:9" ht="33" customHeight="1" x14ac:dyDescent="0.3">
      <c r="A52" s="11">
        <v>451800000</v>
      </c>
      <c r="B52" s="36"/>
      <c r="C52" s="40" t="s">
        <v>32</v>
      </c>
      <c r="D52" s="40"/>
      <c r="E52" s="22">
        <f t="shared" si="3"/>
        <v>400317</v>
      </c>
      <c r="F52" s="57">
        <v>400317</v>
      </c>
      <c r="G52" s="57"/>
      <c r="H52" s="57"/>
      <c r="I52" s="57"/>
    </row>
    <row r="53" spans="1:9" ht="33" customHeight="1" x14ac:dyDescent="0.3">
      <c r="A53" s="11">
        <v>457200000</v>
      </c>
      <c r="B53" s="36"/>
      <c r="C53" s="43" t="s">
        <v>233</v>
      </c>
      <c r="D53" s="44"/>
      <c r="E53" s="22">
        <f t="shared" si="3"/>
        <v>366957</v>
      </c>
      <c r="F53" s="57">
        <v>366957</v>
      </c>
      <c r="G53" s="57"/>
      <c r="H53" s="57"/>
      <c r="I53" s="57"/>
    </row>
    <row r="54" spans="1:9" ht="33" customHeight="1" x14ac:dyDescent="0.3">
      <c r="A54" s="11">
        <v>451900000</v>
      </c>
      <c r="B54" s="36"/>
      <c r="C54" s="40" t="s">
        <v>41</v>
      </c>
      <c r="D54" s="40"/>
      <c r="E54" s="22">
        <f t="shared" si="3"/>
        <v>1567905</v>
      </c>
      <c r="F54" s="57">
        <v>1567905</v>
      </c>
      <c r="G54" s="57"/>
      <c r="H54" s="57"/>
      <c r="I54" s="57"/>
    </row>
    <row r="55" spans="1:9" ht="33" customHeight="1" x14ac:dyDescent="0.3">
      <c r="A55" s="11">
        <v>452900000</v>
      </c>
      <c r="B55" s="36"/>
      <c r="C55" s="40" t="s">
        <v>49</v>
      </c>
      <c r="D55" s="40"/>
      <c r="E55" s="22">
        <f t="shared" si="3"/>
        <v>366957</v>
      </c>
      <c r="F55" s="57">
        <v>366957</v>
      </c>
      <c r="G55" s="57"/>
      <c r="H55" s="57"/>
      <c r="I55" s="57"/>
    </row>
    <row r="56" spans="1:9" ht="33" customHeight="1" x14ac:dyDescent="0.3">
      <c r="A56" s="11">
        <v>450300000</v>
      </c>
      <c r="B56" s="36"/>
      <c r="C56" s="40" t="s">
        <v>33</v>
      </c>
      <c r="D56" s="40"/>
      <c r="E56" s="22">
        <f t="shared" si="3"/>
        <v>800633</v>
      </c>
      <c r="F56" s="57">
        <v>800633</v>
      </c>
      <c r="G56" s="57"/>
      <c r="H56" s="57"/>
      <c r="I56" s="57"/>
    </row>
    <row r="57" spans="1:9" ht="33" customHeight="1" x14ac:dyDescent="0.3">
      <c r="A57" s="11">
        <v>457300000</v>
      </c>
      <c r="B57" s="36"/>
      <c r="C57" s="40" t="s">
        <v>269</v>
      </c>
      <c r="D57" s="40"/>
      <c r="E57" s="22">
        <f t="shared" si="3"/>
        <v>400317</v>
      </c>
      <c r="F57" s="57">
        <v>400317</v>
      </c>
      <c r="G57" s="57"/>
      <c r="H57" s="57"/>
      <c r="I57" s="57"/>
    </row>
    <row r="58" spans="1:9" ht="33" customHeight="1" x14ac:dyDescent="0.3">
      <c r="A58" s="11">
        <v>453600000</v>
      </c>
      <c r="B58" s="36"/>
      <c r="C58" s="40" t="s">
        <v>52</v>
      </c>
      <c r="D58" s="40"/>
      <c r="E58" s="22">
        <f t="shared" si="3"/>
        <v>1134233</v>
      </c>
      <c r="F58" s="57">
        <v>1134233</v>
      </c>
      <c r="G58" s="57"/>
      <c r="H58" s="57"/>
      <c r="I58" s="57"/>
    </row>
    <row r="59" spans="1:9" ht="33" customHeight="1" x14ac:dyDescent="0.3">
      <c r="A59" s="11">
        <v>456300000</v>
      </c>
      <c r="B59" s="36"/>
      <c r="C59" s="40" t="s">
        <v>7</v>
      </c>
      <c r="D59" s="40"/>
      <c r="E59" s="22">
        <f t="shared" si="3"/>
        <v>366957</v>
      </c>
      <c r="F59" s="57">
        <v>366957</v>
      </c>
      <c r="G59" s="57"/>
      <c r="H59" s="57"/>
      <c r="I59" s="57"/>
    </row>
    <row r="60" spans="1:9" ht="33" customHeight="1" x14ac:dyDescent="0.3">
      <c r="A60" s="11">
        <v>450700000</v>
      </c>
      <c r="B60" s="36"/>
      <c r="C60" s="40" t="s">
        <v>35</v>
      </c>
      <c r="D60" s="40"/>
      <c r="E60" s="22">
        <f t="shared" si="3"/>
        <v>366957</v>
      </c>
      <c r="F60" s="57">
        <v>366957</v>
      </c>
      <c r="G60" s="57"/>
      <c r="H60" s="57"/>
      <c r="I60" s="57"/>
    </row>
    <row r="61" spans="1:9" ht="33" customHeight="1" x14ac:dyDescent="0.3">
      <c r="A61" s="11">
        <v>457500000</v>
      </c>
      <c r="B61" s="36"/>
      <c r="C61" s="40" t="s">
        <v>15</v>
      </c>
      <c r="D61" s="40"/>
      <c r="E61" s="22">
        <f t="shared" si="3"/>
        <v>400319</v>
      </c>
      <c r="F61" s="57">
        <v>400319</v>
      </c>
      <c r="G61" s="57"/>
      <c r="H61" s="57"/>
      <c r="I61" s="57"/>
    </row>
    <row r="62" spans="1:9" ht="33" customHeight="1" x14ac:dyDescent="0.3">
      <c r="A62" s="11">
        <v>455600000</v>
      </c>
      <c r="B62" s="36"/>
      <c r="C62" s="40" t="s">
        <v>62</v>
      </c>
      <c r="D62" s="40"/>
      <c r="E62" s="22">
        <f t="shared" si="3"/>
        <v>733913</v>
      </c>
      <c r="F62" s="57">
        <v>733913</v>
      </c>
      <c r="G62" s="57"/>
      <c r="H62" s="57"/>
      <c r="I62" s="57"/>
    </row>
    <row r="63" spans="1:9" ht="33" customHeight="1" x14ac:dyDescent="0.3">
      <c r="A63" s="11">
        <v>453500000</v>
      </c>
      <c r="B63" s="36"/>
      <c r="C63" s="40" t="s">
        <v>6</v>
      </c>
      <c r="D63" s="40"/>
      <c r="E63" s="22">
        <f t="shared" si="3"/>
        <v>400317</v>
      </c>
      <c r="F63" s="57">
        <v>400317</v>
      </c>
      <c r="G63" s="57"/>
      <c r="H63" s="57"/>
      <c r="I63" s="57"/>
    </row>
    <row r="64" spans="1:9" s="6" customFormat="1" ht="33" customHeight="1" x14ac:dyDescent="0.3">
      <c r="A64" s="11" t="s">
        <v>139</v>
      </c>
      <c r="B64" s="36"/>
      <c r="C64" s="40" t="s">
        <v>140</v>
      </c>
      <c r="D64" s="40"/>
      <c r="E64" s="22">
        <f t="shared" si="3"/>
        <v>400318</v>
      </c>
      <c r="F64" s="57">
        <v>400318</v>
      </c>
      <c r="G64" s="57"/>
      <c r="H64" s="57"/>
      <c r="I64" s="57"/>
    </row>
    <row r="65" spans="1:9" ht="33" customHeight="1" x14ac:dyDescent="0.3">
      <c r="A65" s="11">
        <v>450600000</v>
      </c>
      <c r="B65" s="36"/>
      <c r="C65" s="40" t="s">
        <v>34</v>
      </c>
      <c r="D65" s="40"/>
      <c r="E65" s="22">
        <f t="shared" si="3"/>
        <v>366957</v>
      </c>
      <c r="F65" s="57">
        <v>366957</v>
      </c>
      <c r="G65" s="57"/>
      <c r="H65" s="57"/>
      <c r="I65" s="57"/>
    </row>
    <row r="66" spans="1:9" ht="33" customHeight="1" x14ac:dyDescent="0.3">
      <c r="A66" s="11">
        <v>452100000</v>
      </c>
      <c r="B66" s="36"/>
      <c r="C66" s="40" t="s">
        <v>43</v>
      </c>
      <c r="D66" s="40"/>
      <c r="E66" s="22">
        <f t="shared" si="3"/>
        <v>400317</v>
      </c>
      <c r="F66" s="57">
        <v>400317</v>
      </c>
      <c r="G66" s="57"/>
      <c r="H66" s="57"/>
      <c r="I66" s="57"/>
    </row>
    <row r="67" spans="1:9" ht="33" customHeight="1" x14ac:dyDescent="0.3">
      <c r="A67" s="11" t="s">
        <v>150</v>
      </c>
      <c r="B67" s="36"/>
      <c r="C67" s="40" t="s">
        <v>151</v>
      </c>
      <c r="D67" s="40"/>
      <c r="E67" s="22">
        <f t="shared" si="3"/>
        <v>400317</v>
      </c>
      <c r="F67" s="57">
        <v>400317</v>
      </c>
      <c r="G67" s="57"/>
      <c r="H67" s="57"/>
      <c r="I67" s="57"/>
    </row>
    <row r="68" spans="1:9" ht="33" customHeight="1" x14ac:dyDescent="0.3">
      <c r="A68" s="11">
        <v>455700000</v>
      </c>
      <c r="B68" s="36"/>
      <c r="C68" s="40" t="s">
        <v>63</v>
      </c>
      <c r="D68" s="40"/>
      <c r="E68" s="22">
        <f t="shared" si="3"/>
        <v>430769</v>
      </c>
      <c r="F68" s="57">
        <v>430769</v>
      </c>
      <c r="G68" s="57"/>
      <c r="H68" s="57"/>
      <c r="I68" s="57"/>
    </row>
    <row r="69" spans="1:9" ht="33" customHeight="1" x14ac:dyDescent="0.3">
      <c r="A69" s="11">
        <v>457900000</v>
      </c>
      <c r="B69" s="36"/>
      <c r="C69" s="40" t="s">
        <v>19</v>
      </c>
      <c r="D69" s="40"/>
      <c r="E69" s="22">
        <f t="shared" si="3"/>
        <v>1796441</v>
      </c>
      <c r="F69" s="57">
        <v>1796441</v>
      </c>
      <c r="G69" s="57"/>
      <c r="H69" s="57"/>
      <c r="I69" s="57"/>
    </row>
    <row r="70" spans="1:9" ht="33" customHeight="1" x14ac:dyDescent="0.3">
      <c r="A70" s="11">
        <v>456500000</v>
      </c>
      <c r="B70" s="36"/>
      <c r="C70" s="40" t="s">
        <v>9</v>
      </c>
      <c r="D70" s="40"/>
      <c r="E70" s="22">
        <f t="shared" si="3"/>
        <v>430769</v>
      </c>
      <c r="F70" s="57">
        <v>430769</v>
      </c>
      <c r="G70" s="57"/>
      <c r="H70" s="57"/>
      <c r="I70" s="57"/>
    </row>
    <row r="71" spans="1:9" ht="33" customHeight="1" x14ac:dyDescent="0.3">
      <c r="A71" s="11">
        <v>454100000</v>
      </c>
      <c r="B71" s="36"/>
      <c r="C71" s="40" t="s">
        <v>66</v>
      </c>
      <c r="D71" s="40"/>
      <c r="E71" s="22">
        <f t="shared" si="3"/>
        <v>400317</v>
      </c>
      <c r="F71" s="57">
        <v>400317</v>
      </c>
      <c r="G71" s="57"/>
      <c r="H71" s="57"/>
      <c r="I71" s="57"/>
    </row>
    <row r="72" spans="1:9" ht="33" customHeight="1" x14ac:dyDescent="0.3">
      <c r="A72" s="11">
        <v>453700000</v>
      </c>
      <c r="B72" s="36"/>
      <c r="C72" s="40" t="s">
        <v>53</v>
      </c>
      <c r="D72" s="40"/>
      <c r="E72" s="22">
        <f t="shared" si="3"/>
        <v>461288</v>
      </c>
      <c r="F72" s="57">
        <v>461288</v>
      </c>
      <c r="G72" s="57"/>
      <c r="H72" s="57"/>
      <c r="I72" s="57"/>
    </row>
    <row r="73" spans="1:9" ht="33" customHeight="1" x14ac:dyDescent="0.3">
      <c r="A73" s="11">
        <v>458000000</v>
      </c>
      <c r="B73" s="36"/>
      <c r="C73" s="40" t="s">
        <v>80</v>
      </c>
      <c r="D73" s="40"/>
      <c r="E73" s="22">
        <f t="shared" si="3"/>
        <v>400317</v>
      </c>
      <c r="F73" s="57">
        <v>400317</v>
      </c>
      <c r="G73" s="57"/>
      <c r="H73" s="57"/>
      <c r="I73" s="57"/>
    </row>
    <row r="74" spans="1:9" ht="33" customHeight="1" x14ac:dyDescent="0.3">
      <c r="A74" s="11">
        <v>454400000</v>
      </c>
      <c r="B74" s="36"/>
      <c r="C74" s="40" t="s">
        <v>79</v>
      </c>
      <c r="D74" s="40"/>
      <c r="E74" s="22">
        <f t="shared" si="3"/>
        <v>400317</v>
      </c>
      <c r="F74" s="57">
        <v>400317</v>
      </c>
      <c r="G74" s="57"/>
      <c r="H74" s="57"/>
      <c r="I74" s="57"/>
    </row>
    <row r="75" spans="1:9" ht="33" customHeight="1" x14ac:dyDescent="0.3">
      <c r="A75" s="11">
        <v>450900000</v>
      </c>
      <c r="B75" s="36"/>
      <c r="C75" s="40" t="s">
        <v>36</v>
      </c>
      <c r="D75" s="40"/>
      <c r="E75" s="22">
        <f t="shared" si="3"/>
        <v>400317</v>
      </c>
      <c r="F75" s="57">
        <v>400317</v>
      </c>
      <c r="G75" s="57"/>
      <c r="H75" s="57"/>
      <c r="I75" s="57"/>
    </row>
    <row r="76" spans="1:9" ht="33" customHeight="1" x14ac:dyDescent="0.3">
      <c r="A76" s="11">
        <v>453900000</v>
      </c>
      <c r="B76" s="36"/>
      <c r="C76" s="40" t="s">
        <v>236</v>
      </c>
      <c r="D76" s="40"/>
      <c r="E76" s="22">
        <f t="shared" si="3"/>
        <v>366957</v>
      </c>
      <c r="F76" s="57">
        <v>366957</v>
      </c>
      <c r="G76" s="57"/>
      <c r="H76" s="57"/>
      <c r="I76" s="57"/>
    </row>
    <row r="77" spans="1:9" ht="33" customHeight="1" x14ac:dyDescent="0.3">
      <c r="A77" s="11" t="s">
        <v>179</v>
      </c>
      <c r="B77" s="36"/>
      <c r="C77" s="40" t="s">
        <v>180</v>
      </c>
      <c r="D77" s="40"/>
      <c r="E77" s="22">
        <f t="shared" si="3"/>
        <v>366957</v>
      </c>
      <c r="F77" s="57">
        <v>366957</v>
      </c>
      <c r="G77" s="57"/>
      <c r="H77" s="57"/>
      <c r="I77" s="57"/>
    </row>
    <row r="78" spans="1:9" ht="33" customHeight="1" x14ac:dyDescent="0.3">
      <c r="A78" s="11">
        <v>451100000</v>
      </c>
      <c r="B78" s="36"/>
      <c r="C78" s="40" t="s">
        <v>67</v>
      </c>
      <c r="D78" s="40"/>
      <c r="E78" s="22">
        <f t="shared" si="3"/>
        <v>400317</v>
      </c>
      <c r="F78" s="57">
        <v>400317</v>
      </c>
      <c r="G78" s="57"/>
      <c r="H78" s="57"/>
      <c r="I78" s="57"/>
    </row>
    <row r="79" spans="1:9" ht="33" customHeight="1" x14ac:dyDescent="0.3">
      <c r="A79" s="11">
        <v>458300000</v>
      </c>
      <c r="B79" s="36"/>
      <c r="C79" s="40" t="s">
        <v>21</v>
      </c>
      <c r="D79" s="40"/>
      <c r="E79" s="22">
        <f t="shared" si="3"/>
        <v>300238</v>
      </c>
      <c r="F79" s="57">
        <v>300238</v>
      </c>
      <c r="G79" s="57"/>
      <c r="H79" s="57"/>
      <c r="I79" s="57"/>
    </row>
    <row r="80" spans="1:9" ht="33" customHeight="1" x14ac:dyDescent="0.3">
      <c r="A80" s="11">
        <v>451200000</v>
      </c>
      <c r="B80" s="36"/>
      <c r="C80" s="40" t="s">
        <v>37</v>
      </c>
      <c r="D80" s="40"/>
      <c r="E80" s="22">
        <f t="shared" si="3"/>
        <v>1134230</v>
      </c>
      <c r="F80" s="57">
        <v>1134230</v>
      </c>
      <c r="G80" s="57"/>
      <c r="H80" s="57"/>
      <c r="I80" s="57"/>
    </row>
    <row r="81" spans="1:9" ht="33" customHeight="1" x14ac:dyDescent="0.3">
      <c r="A81" s="11">
        <v>456600000</v>
      </c>
      <c r="B81" s="36"/>
      <c r="C81" s="40" t="s">
        <v>10</v>
      </c>
      <c r="D81" s="40"/>
      <c r="E81" s="22">
        <f t="shared" si="3"/>
        <v>797724</v>
      </c>
      <c r="F81" s="57">
        <v>797724</v>
      </c>
      <c r="G81" s="57"/>
      <c r="H81" s="57"/>
      <c r="I81" s="57"/>
    </row>
    <row r="82" spans="1:9" ht="33" customHeight="1" x14ac:dyDescent="0.3">
      <c r="A82" s="11">
        <v>455800000</v>
      </c>
      <c r="B82" s="36"/>
      <c r="C82" s="40" t="s">
        <v>64</v>
      </c>
      <c r="D82" s="40"/>
      <c r="E82" s="22">
        <f t="shared" si="3"/>
        <v>831084</v>
      </c>
      <c r="F82" s="57">
        <v>831084</v>
      </c>
      <c r="G82" s="57"/>
      <c r="H82" s="57"/>
      <c r="I82" s="57"/>
    </row>
    <row r="83" spans="1:9" ht="33" customHeight="1" x14ac:dyDescent="0.3">
      <c r="A83" s="11">
        <v>454300000</v>
      </c>
      <c r="B83" s="36"/>
      <c r="C83" s="40" t="s">
        <v>56</v>
      </c>
      <c r="D83" s="40"/>
      <c r="E83" s="22">
        <f t="shared" si="3"/>
        <v>831084</v>
      </c>
      <c r="F83" s="57">
        <v>831084</v>
      </c>
      <c r="G83" s="57"/>
      <c r="H83" s="57"/>
      <c r="I83" s="57"/>
    </row>
    <row r="84" spans="1:9" ht="33" customHeight="1" x14ac:dyDescent="0.3">
      <c r="A84" s="11">
        <v>458600000</v>
      </c>
      <c r="B84" s="36"/>
      <c r="C84" s="40" t="s">
        <v>23</v>
      </c>
      <c r="D84" s="40"/>
      <c r="E84" s="22">
        <f t="shared" si="3"/>
        <v>430767</v>
      </c>
      <c r="F84" s="57">
        <v>430767</v>
      </c>
      <c r="G84" s="57"/>
      <c r="H84" s="57"/>
      <c r="I84" s="57"/>
    </row>
    <row r="85" spans="1:9" ht="33" customHeight="1" x14ac:dyDescent="0.3">
      <c r="A85" s="11">
        <v>456800000</v>
      </c>
      <c r="B85" s="36"/>
      <c r="C85" s="40" t="s">
        <v>12</v>
      </c>
      <c r="D85" s="40"/>
      <c r="E85" s="22">
        <f t="shared" si="3"/>
        <v>400317</v>
      </c>
      <c r="F85" s="57">
        <v>400317</v>
      </c>
      <c r="G85" s="57"/>
      <c r="H85" s="57"/>
      <c r="I85" s="57"/>
    </row>
    <row r="86" spans="1:9" ht="33" customHeight="1" x14ac:dyDescent="0.3">
      <c r="A86" s="11">
        <v>455900000</v>
      </c>
      <c r="B86" s="36"/>
      <c r="C86" s="40" t="s">
        <v>65</v>
      </c>
      <c r="D86" s="40"/>
      <c r="E86" s="22">
        <f t="shared" si="3"/>
        <v>400317</v>
      </c>
      <c r="F86" s="57">
        <v>400317</v>
      </c>
      <c r="G86" s="57"/>
      <c r="H86" s="57"/>
      <c r="I86" s="57"/>
    </row>
    <row r="87" spans="1:9" ht="33" customHeight="1" x14ac:dyDescent="0.3">
      <c r="A87" s="11">
        <v>452300000</v>
      </c>
      <c r="B87" s="36"/>
      <c r="C87" s="40" t="s">
        <v>44</v>
      </c>
      <c r="D87" s="40"/>
      <c r="E87" s="22">
        <f t="shared" si="3"/>
        <v>400318</v>
      </c>
      <c r="F87" s="57">
        <v>400318</v>
      </c>
      <c r="G87" s="57"/>
      <c r="H87" s="57"/>
      <c r="I87" s="57"/>
    </row>
    <row r="88" spans="1:9" ht="33" customHeight="1" x14ac:dyDescent="0.3">
      <c r="A88" s="11">
        <v>458700000</v>
      </c>
      <c r="B88" s="36"/>
      <c r="C88" s="40" t="s">
        <v>24</v>
      </c>
      <c r="D88" s="40"/>
      <c r="E88" s="22">
        <f t="shared" si="3"/>
        <v>366957</v>
      </c>
      <c r="F88" s="57">
        <v>366957</v>
      </c>
      <c r="G88" s="57"/>
      <c r="H88" s="57"/>
      <c r="I88" s="57"/>
    </row>
    <row r="89" spans="1:9" ht="33" customHeight="1" x14ac:dyDescent="0.3">
      <c r="A89" s="11">
        <v>458800000</v>
      </c>
      <c r="B89" s="36"/>
      <c r="C89" s="40" t="s">
        <v>25</v>
      </c>
      <c r="D89" s="40"/>
      <c r="E89" s="22">
        <f t="shared" si="3"/>
        <v>800633</v>
      </c>
      <c r="F89" s="57">
        <v>800633</v>
      </c>
      <c r="G89" s="57"/>
      <c r="H89" s="57"/>
      <c r="I89" s="57"/>
    </row>
    <row r="90" spans="1:9" ht="33" customHeight="1" x14ac:dyDescent="0.3">
      <c r="A90" s="11">
        <v>454600000</v>
      </c>
      <c r="B90" s="36"/>
      <c r="C90" s="40" t="s">
        <v>57</v>
      </c>
      <c r="D90" s="40"/>
      <c r="E90" s="22">
        <f t="shared" si="3"/>
        <v>461278</v>
      </c>
      <c r="F90" s="57">
        <v>461278</v>
      </c>
      <c r="G90" s="57"/>
      <c r="H90" s="57"/>
      <c r="I90" s="57"/>
    </row>
    <row r="91" spans="1:9" ht="33" customHeight="1" x14ac:dyDescent="0.3">
      <c r="A91" s="11">
        <v>455500000</v>
      </c>
      <c r="B91" s="36"/>
      <c r="C91" s="40" t="s">
        <v>61</v>
      </c>
      <c r="D91" s="40"/>
      <c r="E91" s="22">
        <f t="shared" si="3"/>
        <v>1167589</v>
      </c>
      <c r="F91" s="57">
        <v>1167589</v>
      </c>
      <c r="G91" s="57"/>
      <c r="H91" s="57"/>
      <c r="I91" s="57"/>
    </row>
    <row r="92" spans="1:9" ht="33" customHeight="1" x14ac:dyDescent="0.3">
      <c r="A92" s="11" t="s">
        <v>192</v>
      </c>
      <c r="B92" s="36"/>
      <c r="C92" s="40" t="s">
        <v>235</v>
      </c>
      <c r="D92" s="40"/>
      <c r="E92" s="22">
        <f t="shared" si="3"/>
        <v>366957</v>
      </c>
      <c r="F92" s="57">
        <v>366957</v>
      </c>
      <c r="G92" s="57"/>
      <c r="H92" s="57"/>
      <c r="I92" s="57"/>
    </row>
    <row r="93" spans="1:9" ht="33" customHeight="1" x14ac:dyDescent="0.3">
      <c r="A93" s="11">
        <v>451500000</v>
      </c>
      <c r="B93" s="36"/>
      <c r="C93" s="40" t="s">
        <v>39</v>
      </c>
      <c r="D93" s="40"/>
      <c r="E93" s="22">
        <f t="shared" si="3"/>
        <v>767277</v>
      </c>
      <c r="F93" s="57">
        <v>767277</v>
      </c>
      <c r="G93" s="57"/>
      <c r="H93" s="57"/>
      <c r="I93" s="57"/>
    </row>
    <row r="94" spans="1:9" s="2" customFormat="1" ht="33" customHeight="1" x14ac:dyDescent="0.3">
      <c r="A94" s="11">
        <v>459000000</v>
      </c>
      <c r="B94" s="36"/>
      <c r="C94" s="40" t="s">
        <v>99</v>
      </c>
      <c r="D94" s="40"/>
      <c r="E94" s="22">
        <f t="shared" si="3"/>
        <v>366957</v>
      </c>
      <c r="F94" s="57">
        <v>366957</v>
      </c>
      <c r="G94" s="57"/>
      <c r="H94" s="57"/>
      <c r="I94" s="57"/>
    </row>
    <row r="95" spans="1:9" s="2" customFormat="1" ht="33" customHeight="1" x14ac:dyDescent="0.3">
      <c r="A95" s="11">
        <v>451300000</v>
      </c>
      <c r="B95" s="36"/>
      <c r="C95" s="40" t="s">
        <v>38</v>
      </c>
      <c r="D95" s="40"/>
      <c r="E95" s="22">
        <f t="shared" si="3"/>
        <v>366957</v>
      </c>
      <c r="F95" s="57">
        <v>366957</v>
      </c>
      <c r="G95" s="57"/>
      <c r="H95" s="57"/>
      <c r="I95" s="57"/>
    </row>
    <row r="96" spans="1:9" s="2" customFormat="1" ht="33" customHeight="1" x14ac:dyDescent="0.3">
      <c r="A96" s="11">
        <v>452500000</v>
      </c>
      <c r="B96" s="36"/>
      <c r="C96" s="40" t="s">
        <v>46</v>
      </c>
      <c r="D96" s="40"/>
      <c r="E96" s="22">
        <f t="shared" si="3"/>
        <v>600481</v>
      </c>
      <c r="F96" s="57">
        <v>600481</v>
      </c>
      <c r="G96" s="57"/>
      <c r="H96" s="57"/>
      <c r="I96" s="57"/>
    </row>
    <row r="97" spans="1:9" s="2" customFormat="1" ht="33" customHeight="1" x14ac:dyDescent="0.3">
      <c r="A97" s="11" t="s">
        <v>195</v>
      </c>
      <c r="B97" s="36"/>
      <c r="C97" s="40" t="s">
        <v>196</v>
      </c>
      <c r="D97" s="40"/>
      <c r="E97" s="22">
        <f t="shared" si="3"/>
        <v>366957</v>
      </c>
      <c r="F97" s="57">
        <v>366957</v>
      </c>
      <c r="G97" s="57"/>
      <c r="H97" s="57"/>
      <c r="I97" s="57"/>
    </row>
    <row r="98" spans="1:9" s="2" customFormat="1" ht="33" customHeight="1" x14ac:dyDescent="0.3">
      <c r="A98" s="11">
        <v>452600000</v>
      </c>
      <c r="B98" s="36"/>
      <c r="C98" s="40" t="s">
        <v>47</v>
      </c>
      <c r="D98" s="40"/>
      <c r="E98" s="22">
        <f t="shared" ref="E98:E107" si="4">F98+H98</f>
        <v>1200954</v>
      </c>
      <c r="F98" s="57">
        <v>1200954</v>
      </c>
      <c r="G98" s="57"/>
      <c r="H98" s="57"/>
      <c r="I98" s="57"/>
    </row>
    <row r="99" spans="1:9" s="2" customFormat="1" ht="33" customHeight="1" x14ac:dyDescent="0.3">
      <c r="A99" s="11">
        <v>454200000</v>
      </c>
      <c r="B99" s="36"/>
      <c r="C99" s="40" t="s">
        <v>55</v>
      </c>
      <c r="D99" s="40"/>
      <c r="E99" s="22">
        <f t="shared" si="4"/>
        <v>366957</v>
      </c>
      <c r="F99" s="57">
        <v>366957</v>
      </c>
      <c r="G99" s="57"/>
      <c r="H99" s="57"/>
      <c r="I99" s="57"/>
    </row>
    <row r="100" spans="1:9" s="2" customFormat="1" ht="33" customHeight="1" x14ac:dyDescent="0.3">
      <c r="A100" s="11">
        <v>452700000</v>
      </c>
      <c r="B100" s="36"/>
      <c r="C100" s="40" t="s">
        <v>48</v>
      </c>
      <c r="D100" s="40"/>
      <c r="E100" s="22">
        <f t="shared" si="4"/>
        <v>1134230</v>
      </c>
      <c r="F100" s="57">
        <v>1134230</v>
      </c>
      <c r="G100" s="57"/>
      <c r="H100" s="57"/>
      <c r="I100" s="57"/>
    </row>
    <row r="101" spans="1:9" s="2" customFormat="1" ht="33" customHeight="1" x14ac:dyDescent="0.3">
      <c r="A101" s="11">
        <v>454000000</v>
      </c>
      <c r="B101" s="36"/>
      <c r="C101" s="40" t="s">
        <v>54</v>
      </c>
      <c r="D101" s="40"/>
      <c r="E101" s="22">
        <f t="shared" si="4"/>
        <v>366957</v>
      </c>
      <c r="F101" s="57">
        <v>366957</v>
      </c>
      <c r="G101" s="57"/>
      <c r="H101" s="57"/>
      <c r="I101" s="57"/>
    </row>
    <row r="102" spans="1:9" s="2" customFormat="1" ht="33" customHeight="1" x14ac:dyDescent="0.3">
      <c r="A102" s="11">
        <v>457000000</v>
      </c>
      <c r="B102" s="36"/>
      <c r="C102" s="40" t="s">
        <v>13</v>
      </c>
      <c r="D102" s="40"/>
      <c r="E102" s="22">
        <f t="shared" si="4"/>
        <v>400317</v>
      </c>
      <c r="F102" s="57">
        <v>400317</v>
      </c>
      <c r="G102" s="57"/>
      <c r="H102" s="57"/>
      <c r="I102" s="57"/>
    </row>
    <row r="103" spans="1:9" s="2" customFormat="1" ht="33" customHeight="1" x14ac:dyDescent="0.3">
      <c r="A103" s="11">
        <v>456700000</v>
      </c>
      <c r="B103" s="36"/>
      <c r="C103" s="40" t="s">
        <v>11</v>
      </c>
      <c r="D103" s="40"/>
      <c r="E103" s="22">
        <f t="shared" si="4"/>
        <v>430769</v>
      </c>
      <c r="F103" s="57">
        <v>430769</v>
      </c>
      <c r="G103" s="57"/>
      <c r="H103" s="57"/>
      <c r="I103" s="57"/>
    </row>
    <row r="104" spans="1:9" s="2" customFormat="1" ht="33" customHeight="1" x14ac:dyDescent="0.3">
      <c r="A104" s="11" t="s">
        <v>201</v>
      </c>
      <c r="B104" s="36"/>
      <c r="C104" s="40" t="s">
        <v>202</v>
      </c>
      <c r="D104" s="40"/>
      <c r="E104" s="22">
        <f t="shared" si="4"/>
        <v>366957</v>
      </c>
      <c r="F104" s="57">
        <v>366957</v>
      </c>
      <c r="G104" s="57"/>
      <c r="H104" s="57"/>
      <c r="I104" s="57"/>
    </row>
    <row r="105" spans="1:9" s="2" customFormat="1" ht="33" customHeight="1" x14ac:dyDescent="0.3">
      <c r="A105" s="11">
        <v>455100000</v>
      </c>
      <c r="B105" s="36"/>
      <c r="C105" s="40" t="s">
        <v>59</v>
      </c>
      <c r="D105" s="40"/>
      <c r="E105" s="22">
        <f t="shared" si="4"/>
        <v>1619029</v>
      </c>
      <c r="F105" s="57">
        <v>1619029</v>
      </c>
      <c r="G105" s="57"/>
      <c r="H105" s="57"/>
      <c r="I105" s="57"/>
    </row>
    <row r="106" spans="1:9" s="2" customFormat="1" ht="33" customHeight="1" x14ac:dyDescent="0.3">
      <c r="A106" s="11">
        <v>455200000</v>
      </c>
      <c r="B106" s="36"/>
      <c r="C106" s="40" t="s">
        <v>237</v>
      </c>
      <c r="D106" s="40"/>
      <c r="E106" s="22">
        <f t="shared" si="4"/>
        <v>400317</v>
      </c>
      <c r="F106" s="57">
        <v>400317</v>
      </c>
      <c r="G106" s="57"/>
      <c r="H106" s="57"/>
      <c r="I106" s="57"/>
    </row>
    <row r="107" spans="1:9" ht="33" customHeight="1" x14ac:dyDescent="0.3">
      <c r="A107" s="11">
        <v>454700000</v>
      </c>
      <c r="B107" s="36"/>
      <c r="C107" s="40" t="s">
        <v>231</v>
      </c>
      <c r="D107" s="40"/>
      <c r="E107" s="22">
        <f t="shared" si="4"/>
        <v>400318</v>
      </c>
      <c r="F107" s="57">
        <v>400318</v>
      </c>
      <c r="G107" s="57"/>
      <c r="H107" s="57"/>
      <c r="I107" s="57"/>
    </row>
    <row r="108" spans="1:9" s="6" customFormat="1" ht="39" customHeight="1" x14ac:dyDescent="0.3">
      <c r="A108" s="58"/>
      <c r="B108" s="58"/>
      <c r="C108" s="59" t="s">
        <v>242</v>
      </c>
      <c r="D108" s="59"/>
      <c r="E108" s="20"/>
      <c r="F108" s="60"/>
      <c r="G108" s="60"/>
      <c r="H108" s="60"/>
      <c r="I108" s="60"/>
    </row>
    <row r="109" spans="1:9" s="6" customFormat="1" ht="42" customHeight="1" x14ac:dyDescent="0.3">
      <c r="A109" s="74" t="s">
        <v>243</v>
      </c>
      <c r="B109" s="76">
        <v>9310</v>
      </c>
      <c r="C109" s="78" t="s">
        <v>244</v>
      </c>
      <c r="D109" s="79"/>
      <c r="E109" s="82">
        <f>F110+H110</f>
        <v>71431000</v>
      </c>
      <c r="F109" s="69" t="s">
        <v>245</v>
      </c>
      <c r="G109" s="69"/>
      <c r="H109" s="69" t="s">
        <v>246</v>
      </c>
      <c r="I109" s="69"/>
    </row>
    <row r="110" spans="1:9" s="6" customFormat="1" ht="36.75" customHeight="1" x14ac:dyDescent="0.3">
      <c r="A110" s="75"/>
      <c r="B110" s="77"/>
      <c r="C110" s="80"/>
      <c r="D110" s="81"/>
      <c r="E110" s="83"/>
      <c r="F110" s="67">
        <f>SUM(F111:G145)</f>
        <v>57334600</v>
      </c>
      <c r="G110" s="68"/>
      <c r="H110" s="67">
        <f>SUM(H111:I145)</f>
        <v>14096400</v>
      </c>
      <c r="I110" s="68"/>
    </row>
    <row r="111" spans="1:9" s="6" customFormat="1" ht="33" customHeight="1" x14ac:dyDescent="0.3">
      <c r="A111" s="12">
        <v>410000000</v>
      </c>
      <c r="B111" s="33"/>
      <c r="C111" s="45" t="s">
        <v>0</v>
      </c>
      <c r="D111" s="45"/>
      <c r="E111" s="21">
        <f>F111+H111</f>
        <v>279100</v>
      </c>
      <c r="F111" s="84"/>
      <c r="G111" s="84"/>
      <c r="H111" s="84">
        <f>12965000-12685900+1131400-1131400</f>
        <v>279100</v>
      </c>
      <c r="I111" s="84"/>
    </row>
    <row r="112" spans="1:9" ht="33" customHeight="1" x14ac:dyDescent="0.3">
      <c r="A112" s="11">
        <v>457400000</v>
      </c>
      <c r="B112" s="36"/>
      <c r="C112" s="43" t="s">
        <v>14</v>
      </c>
      <c r="D112" s="44"/>
      <c r="E112" s="23">
        <f>F112+H112</f>
        <v>1473771</v>
      </c>
      <c r="F112" s="57">
        <f>1473771</f>
        <v>1473771</v>
      </c>
      <c r="G112" s="57"/>
      <c r="H112" s="84"/>
      <c r="I112" s="84"/>
    </row>
    <row r="113" spans="1:9" ht="33" customHeight="1" x14ac:dyDescent="0.3">
      <c r="A113" s="11">
        <v>457600000</v>
      </c>
      <c r="B113" s="36"/>
      <c r="C113" s="40" t="s">
        <v>16</v>
      </c>
      <c r="D113" s="40"/>
      <c r="E113" s="23">
        <f t="shared" ref="E113:E145" si="5">F113+H113</f>
        <v>18345536</v>
      </c>
      <c r="F113" s="57">
        <f>8044336</f>
        <v>8044336</v>
      </c>
      <c r="G113" s="57"/>
      <c r="H113" s="57">
        <f>9632200+669000</f>
        <v>10301200</v>
      </c>
      <c r="I113" s="57"/>
    </row>
    <row r="114" spans="1:9" ht="33" customHeight="1" x14ac:dyDescent="0.3">
      <c r="A114" s="11">
        <v>457700000</v>
      </c>
      <c r="B114" s="36"/>
      <c r="C114" s="40" t="s">
        <v>17</v>
      </c>
      <c r="D114" s="40"/>
      <c r="E114" s="23">
        <f t="shared" si="5"/>
        <v>1473771</v>
      </c>
      <c r="F114" s="57">
        <f>1473771</f>
        <v>1473771</v>
      </c>
      <c r="G114" s="57"/>
      <c r="H114" s="57"/>
      <c r="I114" s="57"/>
    </row>
    <row r="115" spans="1:9" ht="33" customHeight="1" x14ac:dyDescent="0.3">
      <c r="A115" s="11">
        <v>457100000</v>
      </c>
      <c r="B115" s="36"/>
      <c r="C115" s="40" t="s">
        <v>100</v>
      </c>
      <c r="D115" s="40"/>
      <c r="E115" s="23">
        <f t="shared" si="5"/>
        <v>6261784</v>
      </c>
      <c r="F115" s="57">
        <f>5895084</f>
        <v>5895084</v>
      </c>
      <c r="G115" s="57"/>
      <c r="H115" s="57">
        <f>366700</f>
        <v>366700</v>
      </c>
      <c r="I115" s="57"/>
    </row>
    <row r="116" spans="1:9" ht="33" customHeight="1" x14ac:dyDescent="0.3">
      <c r="A116" s="11">
        <v>457810000</v>
      </c>
      <c r="B116" s="36"/>
      <c r="C116" s="40" t="s">
        <v>18</v>
      </c>
      <c r="D116" s="40"/>
      <c r="E116" s="23">
        <f t="shared" si="5"/>
        <v>7599570</v>
      </c>
      <c r="F116" s="57">
        <f>4912570</f>
        <v>4912570</v>
      </c>
      <c r="G116" s="57"/>
      <c r="H116" s="57">
        <f>2687000</f>
        <v>2687000</v>
      </c>
      <c r="I116" s="57"/>
    </row>
    <row r="117" spans="1:9" ht="33" customHeight="1" x14ac:dyDescent="0.3">
      <c r="A117" s="11">
        <v>456100000</v>
      </c>
      <c r="B117" s="36"/>
      <c r="C117" s="40" t="s">
        <v>28</v>
      </c>
      <c r="D117" s="40"/>
      <c r="E117" s="23">
        <f t="shared" si="5"/>
        <v>2149249</v>
      </c>
      <c r="F117" s="57">
        <f>2149249</f>
        <v>2149249</v>
      </c>
      <c r="G117" s="57"/>
      <c r="H117" s="84"/>
      <c r="I117" s="84"/>
    </row>
    <row r="118" spans="1:9" ht="33" customHeight="1" x14ac:dyDescent="0.3">
      <c r="A118" s="11">
        <v>458100000</v>
      </c>
      <c r="B118" s="36"/>
      <c r="C118" s="40" t="s">
        <v>20</v>
      </c>
      <c r="D118" s="40"/>
      <c r="E118" s="23">
        <f t="shared" si="5"/>
        <v>1965028</v>
      </c>
      <c r="F118" s="57">
        <f>1965028</f>
        <v>1965028</v>
      </c>
      <c r="G118" s="57"/>
      <c r="H118" s="84"/>
      <c r="I118" s="84"/>
    </row>
    <row r="119" spans="1:9" ht="33" customHeight="1" x14ac:dyDescent="0.3">
      <c r="A119" s="11">
        <v>458400000</v>
      </c>
      <c r="B119" s="36"/>
      <c r="C119" s="40" t="s">
        <v>22</v>
      </c>
      <c r="D119" s="40"/>
      <c r="E119" s="23">
        <f t="shared" si="5"/>
        <v>1719399</v>
      </c>
      <c r="F119" s="57">
        <f>1719399</f>
        <v>1719399</v>
      </c>
      <c r="G119" s="57"/>
      <c r="H119" s="84"/>
      <c r="I119" s="84"/>
    </row>
    <row r="120" spans="1:9" ht="33" customHeight="1" x14ac:dyDescent="0.3">
      <c r="A120" s="11">
        <v>456200000</v>
      </c>
      <c r="B120" s="36"/>
      <c r="C120" s="40" t="s">
        <v>29</v>
      </c>
      <c r="D120" s="40"/>
      <c r="E120" s="23">
        <f t="shared" si="5"/>
        <v>1473771</v>
      </c>
      <c r="F120" s="57">
        <f>1473771</f>
        <v>1473771</v>
      </c>
      <c r="G120" s="57"/>
      <c r="H120" s="84"/>
      <c r="I120" s="84"/>
    </row>
    <row r="121" spans="1:9" ht="33" customHeight="1" x14ac:dyDescent="0.3">
      <c r="A121" s="11">
        <v>458200000</v>
      </c>
      <c r="B121" s="36"/>
      <c r="C121" s="40" t="s">
        <v>234</v>
      </c>
      <c r="D121" s="40"/>
      <c r="E121" s="23">
        <f t="shared" si="5"/>
        <v>1780806</v>
      </c>
      <c r="F121" s="57">
        <f>1780806</f>
        <v>1780806</v>
      </c>
      <c r="G121" s="57"/>
      <c r="H121" s="84"/>
      <c r="I121" s="84"/>
    </row>
    <row r="122" spans="1:9" ht="33" customHeight="1" x14ac:dyDescent="0.3">
      <c r="A122" s="11">
        <v>458900000</v>
      </c>
      <c r="B122" s="36"/>
      <c r="C122" s="40" t="s">
        <v>26</v>
      </c>
      <c r="D122" s="40"/>
      <c r="E122" s="23">
        <f t="shared" si="5"/>
        <v>1473771</v>
      </c>
      <c r="F122" s="57">
        <f>1473771</f>
        <v>1473771</v>
      </c>
      <c r="G122" s="57"/>
      <c r="H122" s="84"/>
      <c r="I122" s="84"/>
    </row>
    <row r="123" spans="1:9" ht="33" customHeight="1" x14ac:dyDescent="0.3">
      <c r="A123" s="11">
        <v>459100000</v>
      </c>
      <c r="B123" s="36"/>
      <c r="C123" s="40" t="s">
        <v>27</v>
      </c>
      <c r="D123" s="40"/>
      <c r="E123" s="23">
        <f t="shared" si="5"/>
        <v>1166735</v>
      </c>
      <c r="F123" s="57">
        <f>1166735</f>
        <v>1166735</v>
      </c>
      <c r="G123" s="57"/>
      <c r="H123" s="84"/>
      <c r="I123" s="84"/>
    </row>
    <row r="124" spans="1:9" ht="33" customHeight="1" x14ac:dyDescent="0.3">
      <c r="A124" s="11">
        <v>458500000</v>
      </c>
      <c r="B124" s="36"/>
      <c r="C124" s="40" t="s">
        <v>238</v>
      </c>
      <c r="D124" s="40"/>
      <c r="E124" s="23">
        <f t="shared" si="5"/>
        <v>1228142</v>
      </c>
      <c r="F124" s="57">
        <f>1228142</f>
        <v>1228142</v>
      </c>
      <c r="G124" s="57"/>
      <c r="H124" s="84"/>
      <c r="I124" s="84"/>
    </row>
    <row r="125" spans="1:9" ht="33" customHeight="1" x14ac:dyDescent="0.3">
      <c r="A125" s="11">
        <v>450100000</v>
      </c>
      <c r="B125" s="36"/>
      <c r="C125" s="40" t="s">
        <v>30</v>
      </c>
      <c r="D125" s="40"/>
      <c r="E125" s="23">
        <f t="shared" si="5"/>
        <v>886719</v>
      </c>
      <c r="F125" s="57">
        <f>886719</f>
        <v>886719</v>
      </c>
      <c r="G125" s="57"/>
      <c r="H125" s="84"/>
      <c r="I125" s="84"/>
    </row>
    <row r="126" spans="1:9" ht="33" customHeight="1" x14ac:dyDescent="0.3">
      <c r="A126" s="11" t="s">
        <v>133</v>
      </c>
      <c r="B126" s="36"/>
      <c r="C126" s="43" t="s">
        <v>131</v>
      </c>
      <c r="D126" s="44"/>
      <c r="E126" s="23">
        <f t="shared" si="5"/>
        <v>675478</v>
      </c>
      <c r="F126" s="57">
        <f>675478</f>
        <v>675478</v>
      </c>
      <c r="G126" s="57"/>
      <c r="H126" s="84"/>
      <c r="I126" s="84"/>
    </row>
    <row r="127" spans="1:9" ht="33" customHeight="1" x14ac:dyDescent="0.3">
      <c r="A127" s="11">
        <v>451900000</v>
      </c>
      <c r="B127" s="36"/>
      <c r="C127" s="40" t="s">
        <v>41</v>
      </c>
      <c r="D127" s="40"/>
      <c r="E127" s="23">
        <f t="shared" si="5"/>
        <v>736885</v>
      </c>
      <c r="F127" s="57">
        <f>736885</f>
        <v>736885</v>
      </c>
      <c r="G127" s="57"/>
      <c r="H127" s="84"/>
      <c r="I127" s="84"/>
    </row>
    <row r="128" spans="1:9" ht="33" customHeight="1" x14ac:dyDescent="0.3">
      <c r="A128" s="11">
        <v>453600000</v>
      </c>
      <c r="B128" s="36"/>
      <c r="C128" s="40" t="s">
        <v>52</v>
      </c>
      <c r="D128" s="40"/>
      <c r="E128" s="23">
        <f t="shared" si="5"/>
        <v>982514</v>
      </c>
      <c r="F128" s="57">
        <f>982514</f>
        <v>982514</v>
      </c>
      <c r="G128" s="57"/>
      <c r="H128" s="84"/>
      <c r="I128" s="84"/>
    </row>
    <row r="129" spans="1:9" ht="33" customHeight="1" x14ac:dyDescent="0.3">
      <c r="A129" s="11">
        <v>457500000</v>
      </c>
      <c r="B129" s="36"/>
      <c r="C129" s="40" t="s">
        <v>15</v>
      </c>
      <c r="D129" s="40"/>
      <c r="E129" s="23">
        <f t="shared" si="5"/>
        <v>1350957</v>
      </c>
      <c r="F129" s="57">
        <f>1350957</f>
        <v>1350957</v>
      </c>
      <c r="G129" s="57"/>
      <c r="H129" s="84"/>
      <c r="I129" s="84"/>
    </row>
    <row r="130" spans="1:9" ht="33" customHeight="1" x14ac:dyDescent="0.3">
      <c r="A130" s="11">
        <v>452100000</v>
      </c>
      <c r="B130" s="36"/>
      <c r="C130" s="40" t="s">
        <v>43</v>
      </c>
      <c r="D130" s="40"/>
      <c r="E130" s="23">
        <f t="shared" si="5"/>
        <v>1105328</v>
      </c>
      <c r="F130" s="57">
        <f>1105328</f>
        <v>1105328</v>
      </c>
      <c r="G130" s="57"/>
      <c r="H130" s="84"/>
      <c r="I130" s="84"/>
    </row>
    <row r="131" spans="1:9" ht="33" customHeight="1" x14ac:dyDescent="0.3">
      <c r="A131" s="11">
        <v>457900000</v>
      </c>
      <c r="B131" s="36"/>
      <c r="C131" s="40" t="s">
        <v>19</v>
      </c>
      <c r="D131" s="40"/>
      <c r="E131" s="23">
        <f t="shared" si="5"/>
        <v>982514</v>
      </c>
      <c r="F131" s="57">
        <f>982514</f>
        <v>982514</v>
      </c>
      <c r="G131" s="57"/>
      <c r="H131" s="84"/>
      <c r="I131" s="84"/>
    </row>
    <row r="132" spans="1:9" ht="33" customHeight="1" x14ac:dyDescent="0.3">
      <c r="A132" s="11">
        <v>456500000</v>
      </c>
      <c r="B132" s="36"/>
      <c r="C132" s="40" t="s">
        <v>9</v>
      </c>
      <c r="D132" s="40"/>
      <c r="E132" s="23">
        <f t="shared" si="5"/>
        <v>982514</v>
      </c>
      <c r="F132" s="57">
        <f>982514</f>
        <v>982514</v>
      </c>
      <c r="G132" s="57"/>
      <c r="H132" s="84"/>
      <c r="I132" s="84"/>
    </row>
    <row r="133" spans="1:9" ht="33" customHeight="1" x14ac:dyDescent="0.3">
      <c r="A133" s="11">
        <v>453700000</v>
      </c>
      <c r="B133" s="36"/>
      <c r="C133" s="40" t="s">
        <v>53</v>
      </c>
      <c r="D133" s="40"/>
      <c r="E133" s="23">
        <f t="shared" si="5"/>
        <v>1228142</v>
      </c>
      <c r="F133" s="57">
        <f>1228142</f>
        <v>1228142</v>
      </c>
      <c r="G133" s="57"/>
      <c r="H133" s="84"/>
      <c r="I133" s="84"/>
    </row>
    <row r="134" spans="1:9" ht="33" customHeight="1" x14ac:dyDescent="0.3">
      <c r="A134" s="11" t="s">
        <v>181</v>
      </c>
      <c r="B134" s="36"/>
      <c r="C134" s="40" t="s">
        <v>132</v>
      </c>
      <c r="D134" s="40"/>
      <c r="E134" s="23">
        <f t="shared" si="5"/>
        <v>1228142</v>
      </c>
      <c r="F134" s="57">
        <f>1228142</f>
        <v>1228142</v>
      </c>
      <c r="G134" s="57"/>
      <c r="H134" s="84"/>
      <c r="I134" s="84"/>
    </row>
    <row r="135" spans="1:9" ht="33" customHeight="1" x14ac:dyDescent="0.3">
      <c r="A135" s="11">
        <v>454300000</v>
      </c>
      <c r="B135" s="36"/>
      <c r="C135" s="40" t="s">
        <v>56</v>
      </c>
      <c r="D135" s="40"/>
      <c r="E135" s="23">
        <f t="shared" si="5"/>
        <v>1009533</v>
      </c>
      <c r="F135" s="57">
        <f>1009533</f>
        <v>1009533</v>
      </c>
      <c r="G135" s="57"/>
      <c r="H135" s="84"/>
      <c r="I135" s="84"/>
    </row>
    <row r="136" spans="1:9" ht="33" customHeight="1" x14ac:dyDescent="0.3">
      <c r="A136" s="11">
        <v>458600000</v>
      </c>
      <c r="B136" s="36"/>
      <c r="C136" s="40" t="s">
        <v>23</v>
      </c>
      <c r="D136" s="40"/>
      <c r="E136" s="23">
        <f t="shared" si="5"/>
        <v>1228142</v>
      </c>
      <c r="F136" s="57">
        <f>1228142</f>
        <v>1228142</v>
      </c>
      <c r="G136" s="57"/>
      <c r="H136" s="84"/>
      <c r="I136" s="84"/>
    </row>
    <row r="137" spans="1:9" ht="33" customHeight="1" x14ac:dyDescent="0.3">
      <c r="A137" s="11">
        <v>456800000</v>
      </c>
      <c r="B137" s="36"/>
      <c r="C137" s="40" t="s">
        <v>12</v>
      </c>
      <c r="D137" s="40"/>
      <c r="E137" s="23">
        <f t="shared" si="5"/>
        <v>1105328</v>
      </c>
      <c r="F137" s="57">
        <f>1105328</f>
        <v>1105328</v>
      </c>
      <c r="G137" s="57"/>
      <c r="H137" s="84"/>
      <c r="I137" s="84"/>
    </row>
    <row r="138" spans="1:9" ht="33" customHeight="1" x14ac:dyDescent="0.3">
      <c r="A138" s="11">
        <v>452300000</v>
      </c>
      <c r="B138" s="36"/>
      <c r="C138" s="40" t="s">
        <v>44</v>
      </c>
      <c r="D138" s="40"/>
      <c r="E138" s="23">
        <f t="shared" si="5"/>
        <v>1252705</v>
      </c>
      <c r="F138" s="57">
        <f>1252705</f>
        <v>1252705</v>
      </c>
      <c r="G138" s="57"/>
      <c r="H138" s="84"/>
      <c r="I138" s="84"/>
    </row>
    <row r="139" spans="1:9" ht="33" customHeight="1" x14ac:dyDescent="0.3">
      <c r="A139" s="11">
        <v>458700000</v>
      </c>
      <c r="B139" s="36"/>
      <c r="C139" s="40" t="s">
        <v>24</v>
      </c>
      <c r="D139" s="40"/>
      <c r="E139" s="23">
        <f t="shared" si="5"/>
        <v>1105328</v>
      </c>
      <c r="F139" s="57">
        <f>1105328</f>
        <v>1105328</v>
      </c>
      <c r="G139" s="57"/>
      <c r="H139" s="84"/>
      <c r="I139" s="84"/>
    </row>
    <row r="140" spans="1:9" ht="33" customHeight="1" x14ac:dyDescent="0.3">
      <c r="A140" s="11">
        <v>458800000</v>
      </c>
      <c r="B140" s="36"/>
      <c r="C140" s="40" t="s">
        <v>25</v>
      </c>
      <c r="D140" s="40"/>
      <c r="E140" s="23">
        <f t="shared" si="5"/>
        <v>1228142</v>
      </c>
      <c r="F140" s="57">
        <f>1228142</f>
        <v>1228142</v>
      </c>
      <c r="G140" s="57"/>
      <c r="H140" s="84"/>
      <c r="I140" s="84"/>
    </row>
    <row r="141" spans="1:9" ht="33" customHeight="1" x14ac:dyDescent="0.3">
      <c r="A141" s="11">
        <v>451500000</v>
      </c>
      <c r="B141" s="36"/>
      <c r="C141" s="40" t="s">
        <v>39</v>
      </c>
      <c r="D141" s="40"/>
      <c r="E141" s="23">
        <f t="shared" si="5"/>
        <v>462400</v>
      </c>
      <c r="F141" s="57"/>
      <c r="G141" s="57"/>
      <c r="H141" s="57">
        <f>462400</f>
        <v>462400</v>
      </c>
      <c r="I141" s="57"/>
    </row>
    <row r="142" spans="1:9" s="2" customFormat="1" ht="33" customHeight="1" x14ac:dyDescent="0.3">
      <c r="A142" s="11">
        <v>451300000</v>
      </c>
      <c r="B142" s="36"/>
      <c r="C142" s="40" t="s">
        <v>38</v>
      </c>
      <c r="D142" s="40"/>
      <c r="E142" s="23">
        <f t="shared" si="5"/>
        <v>1559741</v>
      </c>
      <c r="F142" s="57">
        <f>1559741</f>
        <v>1559741</v>
      </c>
      <c r="G142" s="57"/>
      <c r="H142" s="84"/>
      <c r="I142" s="84"/>
    </row>
    <row r="143" spans="1:9" s="2" customFormat="1" ht="33" customHeight="1" x14ac:dyDescent="0.3">
      <c r="A143" s="11">
        <v>452600000</v>
      </c>
      <c r="B143" s="36"/>
      <c r="C143" s="40" t="s">
        <v>47</v>
      </c>
      <c r="D143" s="40"/>
      <c r="E143" s="23">
        <f t="shared" si="5"/>
        <v>1473771</v>
      </c>
      <c r="F143" s="57">
        <f>1473771</f>
        <v>1473771</v>
      </c>
      <c r="G143" s="57"/>
      <c r="H143" s="84"/>
      <c r="I143" s="84"/>
    </row>
    <row r="144" spans="1:9" s="2" customFormat="1" ht="33" customHeight="1" x14ac:dyDescent="0.3">
      <c r="A144" s="11">
        <v>452700000</v>
      </c>
      <c r="B144" s="36"/>
      <c r="C144" s="40" t="s">
        <v>48</v>
      </c>
      <c r="D144" s="40"/>
      <c r="E144" s="23">
        <f t="shared" si="5"/>
        <v>1228142</v>
      </c>
      <c r="F144" s="57">
        <f>1228142</f>
        <v>1228142</v>
      </c>
      <c r="G144" s="57"/>
      <c r="H144" s="84"/>
      <c r="I144" s="84"/>
    </row>
    <row r="145" spans="1:11" s="2" customFormat="1" ht="33" customHeight="1" x14ac:dyDescent="0.3">
      <c r="A145" s="11">
        <v>455100000</v>
      </c>
      <c r="B145" s="36"/>
      <c r="C145" s="40" t="s">
        <v>59</v>
      </c>
      <c r="D145" s="40"/>
      <c r="E145" s="23">
        <f t="shared" si="5"/>
        <v>1228142</v>
      </c>
      <c r="F145" s="57">
        <f>1228142</f>
        <v>1228142</v>
      </c>
      <c r="G145" s="57"/>
      <c r="H145" s="84"/>
      <c r="I145" s="84"/>
    </row>
    <row r="146" spans="1:11" s="4" customFormat="1" ht="33" customHeight="1" x14ac:dyDescent="0.3">
      <c r="A146" s="58"/>
      <c r="B146" s="58"/>
      <c r="C146" s="130" t="s">
        <v>125</v>
      </c>
      <c r="D146" s="130"/>
      <c r="E146" s="20"/>
      <c r="F146" s="94"/>
      <c r="G146" s="94"/>
      <c r="H146" s="94"/>
      <c r="I146" s="94"/>
    </row>
    <row r="147" spans="1:11" s="6" customFormat="1" ht="33" customHeight="1" x14ac:dyDescent="0.3">
      <c r="A147" s="74" t="s">
        <v>96</v>
      </c>
      <c r="B147" s="76">
        <v>9770</v>
      </c>
      <c r="C147" s="78" t="s">
        <v>224</v>
      </c>
      <c r="D147" s="79"/>
      <c r="E147" s="82">
        <f>F148+H148</f>
        <v>110999896</v>
      </c>
      <c r="F147" s="69" t="s">
        <v>206</v>
      </c>
      <c r="G147" s="69"/>
      <c r="H147" s="69" t="s">
        <v>104</v>
      </c>
      <c r="I147" s="69"/>
    </row>
    <row r="148" spans="1:11" s="6" customFormat="1" ht="33" customHeight="1" x14ac:dyDescent="0.3">
      <c r="A148" s="75"/>
      <c r="B148" s="77"/>
      <c r="C148" s="80"/>
      <c r="D148" s="81"/>
      <c r="E148" s="83"/>
      <c r="F148" s="84">
        <f>SUM(F149:G229)</f>
        <v>109439563</v>
      </c>
      <c r="G148" s="84"/>
      <c r="H148" s="84">
        <f>SUM(H149:I229)</f>
        <v>1560333</v>
      </c>
      <c r="I148" s="84"/>
    </row>
    <row r="149" spans="1:11" s="6" customFormat="1" ht="33.75" customHeight="1" x14ac:dyDescent="0.3">
      <c r="A149" s="12">
        <v>410000000</v>
      </c>
      <c r="B149" s="33"/>
      <c r="C149" s="45" t="s">
        <v>0</v>
      </c>
      <c r="D149" s="45"/>
      <c r="E149" s="21">
        <f>F149+H149</f>
        <v>10812574</v>
      </c>
      <c r="F149" s="84">
        <f>21205630-339482-1350000-6011204-1053470-1638900</f>
        <v>10812574</v>
      </c>
      <c r="G149" s="84"/>
      <c r="H149" s="57"/>
      <c r="I149" s="57"/>
    </row>
    <row r="150" spans="1:11" ht="33" customHeight="1" x14ac:dyDescent="0.3">
      <c r="A150" s="11">
        <v>457400000</v>
      </c>
      <c r="B150" s="36"/>
      <c r="C150" s="43" t="s">
        <v>14</v>
      </c>
      <c r="D150" s="44"/>
      <c r="E150" s="23">
        <f>F150+H150</f>
        <v>1294482</v>
      </c>
      <c r="F150" s="57">
        <f>1194482+100000</f>
        <v>1294482</v>
      </c>
      <c r="G150" s="57"/>
      <c r="H150" s="57"/>
      <c r="I150" s="57"/>
      <c r="K150" s="5"/>
    </row>
    <row r="151" spans="1:11" ht="33" customHeight="1" x14ac:dyDescent="0.3">
      <c r="A151" s="11">
        <v>457600000</v>
      </c>
      <c r="B151" s="36"/>
      <c r="C151" s="40" t="s">
        <v>16</v>
      </c>
      <c r="D151" s="40"/>
      <c r="E151" s="23">
        <f t="shared" ref="E151:E215" si="6">F151+H151</f>
        <v>49605363</v>
      </c>
      <c r="F151" s="57">
        <f>49720511+274482-250000-389630-50000</f>
        <v>49305363</v>
      </c>
      <c r="G151" s="57"/>
      <c r="H151" s="57">
        <f>250000+50000</f>
        <v>300000</v>
      </c>
      <c r="I151" s="57"/>
    </row>
    <row r="152" spans="1:11" ht="33" customHeight="1" x14ac:dyDescent="0.3">
      <c r="A152" s="11">
        <v>457700000</v>
      </c>
      <c r="B152" s="36"/>
      <c r="C152" s="40" t="s">
        <v>17</v>
      </c>
      <c r="D152" s="40"/>
      <c r="E152" s="23">
        <f t="shared" si="6"/>
        <v>480482</v>
      </c>
      <c r="F152" s="57">
        <v>480482</v>
      </c>
      <c r="G152" s="57"/>
      <c r="H152" s="57"/>
      <c r="I152" s="57"/>
    </row>
    <row r="153" spans="1:11" ht="33" customHeight="1" x14ac:dyDescent="0.3">
      <c r="A153" s="11">
        <v>457100000</v>
      </c>
      <c r="B153" s="36"/>
      <c r="C153" s="40" t="s">
        <v>100</v>
      </c>
      <c r="D153" s="40"/>
      <c r="E153" s="23">
        <f t="shared" si="6"/>
        <v>2262028</v>
      </c>
      <c r="F153" s="57">
        <f>2287928+15000-40900</f>
        <v>2262028</v>
      </c>
      <c r="G153" s="57"/>
      <c r="H153" s="57"/>
      <c r="I153" s="57"/>
    </row>
    <row r="154" spans="1:11" ht="33" customHeight="1" x14ac:dyDescent="0.3">
      <c r="A154" s="11">
        <v>457810000</v>
      </c>
      <c r="B154" s="36"/>
      <c r="C154" s="40" t="s">
        <v>18</v>
      </c>
      <c r="D154" s="40"/>
      <c r="E154" s="23">
        <f t="shared" si="6"/>
        <v>14414507</v>
      </c>
      <c r="F154" s="57">
        <f>14299989+114518-640000</f>
        <v>13774507</v>
      </c>
      <c r="G154" s="57"/>
      <c r="H154" s="57">
        <f>640000</f>
        <v>640000</v>
      </c>
      <c r="I154" s="57"/>
    </row>
    <row r="155" spans="1:11" ht="33" customHeight="1" x14ac:dyDescent="0.3">
      <c r="A155" s="11">
        <v>456100000</v>
      </c>
      <c r="B155" s="36"/>
      <c r="C155" s="40" t="s">
        <v>28</v>
      </c>
      <c r="D155" s="40"/>
      <c r="E155" s="23">
        <f t="shared" si="6"/>
        <v>220000</v>
      </c>
      <c r="F155" s="57">
        <f>200000+20000</f>
        <v>220000</v>
      </c>
      <c r="G155" s="57"/>
      <c r="H155" s="57"/>
      <c r="I155" s="57"/>
    </row>
    <row r="156" spans="1:11" ht="33" customHeight="1" x14ac:dyDescent="0.3">
      <c r="A156" s="11">
        <v>458100000</v>
      </c>
      <c r="B156" s="36"/>
      <c r="C156" s="40" t="s">
        <v>20</v>
      </c>
      <c r="D156" s="40"/>
      <c r="E156" s="23">
        <f t="shared" si="6"/>
        <v>1640446</v>
      </c>
      <c r="F156" s="57">
        <f>1765446-125000</f>
        <v>1640446</v>
      </c>
      <c r="G156" s="57"/>
      <c r="H156" s="57"/>
      <c r="I156" s="57"/>
    </row>
    <row r="157" spans="1:11" ht="33" customHeight="1" x14ac:dyDescent="0.3">
      <c r="A157" s="11">
        <v>458400000</v>
      </c>
      <c r="B157" s="36"/>
      <c r="C157" s="40" t="s">
        <v>22</v>
      </c>
      <c r="D157" s="40"/>
      <c r="E157" s="23">
        <f t="shared" si="6"/>
        <v>1634964</v>
      </c>
      <c r="F157" s="57">
        <f>1584964+50000</f>
        <v>1634964</v>
      </c>
      <c r="G157" s="57"/>
      <c r="H157" s="57"/>
      <c r="I157" s="57"/>
    </row>
    <row r="158" spans="1:11" ht="33" customHeight="1" x14ac:dyDescent="0.3">
      <c r="A158" s="11">
        <v>456200000</v>
      </c>
      <c r="B158" s="36"/>
      <c r="C158" s="40" t="s">
        <v>29</v>
      </c>
      <c r="D158" s="40"/>
      <c r="E158" s="23">
        <f t="shared" si="6"/>
        <v>481000</v>
      </c>
      <c r="F158" s="57">
        <f>456000+25000</f>
        <v>481000</v>
      </c>
      <c r="G158" s="57"/>
      <c r="H158" s="57"/>
      <c r="I158" s="57"/>
    </row>
    <row r="159" spans="1:11" ht="33" customHeight="1" x14ac:dyDescent="0.3">
      <c r="A159" s="11">
        <v>458200000</v>
      </c>
      <c r="B159" s="36"/>
      <c r="C159" s="40" t="s">
        <v>234</v>
      </c>
      <c r="D159" s="40"/>
      <c r="E159" s="23">
        <f t="shared" si="6"/>
        <v>180000</v>
      </c>
      <c r="F159" s="57">
        <f>134482+10000+35518</f>
        <v>180000</v>
      </c>
      <c r="G159" s="57"/>
      <c r="H159" s="57"/>
      <c r="I159" s="57"/>
    </row>
    <row r="160" spans="1:11" ht="33" customHeight="1" x14ac:dyDescent="0.3">
      <c r="A160" s="11">
        <v>458900000</v>
      </c>
      <c r="B160" s="36"/>
      <c r="C160" s="40" t="s">
        <v>26</v>
      </c>
      <c r="D160" s="40"/>
      <c r="E160" s="23">
        <f t="shared" si="6"/>
        <v>320000</v>
      </c>
      <c r="F160" s="57">
        <v>320000</v>
      </c>
      <c r="G160" s="57"/>
      <c r="H160" s="57"/>
      <c r="I160" s="57"/>
    </row>
    <row r="161" spans="1:9" ht="33" customHeight="1" x14ac:dyDescent="0.3">
      <c r="A161" s="11">
        <v>459100000</v>
      </c>
      <c r="B161" s="36"/>
      <c r="C161" s="40" t="s">
        <v>27</v>
      </c>
      <c r="D161" s="40"/>
      <c r="E161" s="23">
        <f t="shared" si="6"/>
        <v>1238964</v>
      </c>
      <c r="F161" s="57">
        <f>1248964-10000</f>
        <v>1238964</v>
      </c>
      <c r="G161" s="57"/>
      <c r="H161" s="57"/>
      <c r="I161" s="57"/>
    </row>
    <row r="162" spans="1:9" ht="33" customHeight="1" x14ac:dyDescent="0.3">
      <c r="A162" s="11">
        <v>458500000</v>
      </c>
      <c r="B162" s="36"/>
      <c r="C162" s="40" t="s">
        <v>238</v>
      </c>
      <c r="D162" s="40"/>
      <c r="E162" s="23">
        <f t="shared" si="6"/>
        <v>390000</v>
      </c>
      <c r="F162" s="57">
        <f>430000-40000</f>
        <v>390000</v>
      </c>
      <c r="G162" s="57"/>
      <c r="H162" s="57"/>
      <c r="I162" s="57"/>
    </row>
    <row r="163" spans="1:9" ht="33" customHeight="1" x14ac:dyDescent="0.3">
      <c r="A163" s="11">
        <v>450100000</v>
      </c>
      <c r="B163" s="36"/>
      <c r="C163" s="40" t="s">
        <v>30</v>
      </c>
      <c r="D163" s="40"/>
      <c r="E163" s="23">
        <f t="shared" si="6"/>
        <v>290000</v>
      </c>
      <c r="F163" s="57">
        <v>290000</v>
      </c>
      <c r="G163" s="57"/>
      <c r="H163" s="57"/>
      <c r="I163" s="57"/>
    </row>
    <row r="164" spans="1:9" ht="33" customHeight="1" x14ac:dyDescent="0.3">
      <c r="A164" s="11">
        <v>450200000</v>
      </c>
      <c r="B164" s="36"/>
      <c r="C164" s="40" t="s">
        <v>31</v>
      </c>
      <c r="D164" s="40"/>
      <c r="E164" s="23">
        <f t="shared" si="6"/>
        <v>150000</v>
      </c>
      <c r="F164" s="57">
        <v>150000</v>
      </c>
      <c r="G164" s="57"/>
      <c r="H164" s="57"/>
      <c r="I164" s="57"/>
    </row>
    <row r="165" spans="1:9" ht="33" customHeight="1" x14ac:dyDescent="0.3">
      <c r="A165" s="11">
        <v>451800000</v>
      </c>
      <c r="B165" s="36"/>
      <c r="C165" s="40" t="s">
        <v>32</v>
      </c>
      <c r="D165" s="40"/>
      <c r="E165" s="23">
        <f t="shared" si="6"/>
        <v>200000</v>
      </c>
      <c r="F165" s="57">
        <v>200000</v>
      </c>
      <c r="G165" s="57"/>
      <c r="H165" s="57"/>
      <c r="I165" s="57"/>
    </row>
    <row r="166" spans="1:9" ht="33" customHeight="1" x14ac:dyDescent="0.3">
      <c r="A166" s="11">
        <v>457200000</v>
      </c>
      <c r="B166" s="36"/>
      <c r="C166" s="43" t="s">
        <v>233</v>
      </c>
      <c r="D166" s="44"/>
      <c r="E166" s="23">
        <f t="shared" si="6"/>
        <v>139482</v>
      </c>
      <c r="F166" s="57">
        <f>109482+30000</f>
        <v>139482</v>
      </c>
      <c r="G166" s="57"/>
      <c r="H166" s="57"/>
      <c r="I166" s="57"/>
    </row>
    <row r="167" spans="1:9" ht="33" customHeight="1" x14ac:dyDescent="0.3">
      <c r="A167" s="11" t="s">
        <v>133</v>
      </c>
      <c r="B167" s="36"/>
      <c r="C167" s="43" t="s">
        <v>131</v>
      </c>
      <c r="D167" s="44"/>
      <c r="E167" s="23">
        <f t="shared" si="6"/>
        <v>50000</v>
      </c>
      <c r="F167" s="57">
        <v>50000</v>
      </c>
      <c r="G167" s="57"/>
      <c r="H167" s="57"/>
      <c r="I167" s="57"/>
    </row>
    <row r="168" spans="1:9" ht="33" customHeight="1" x14ac:dyDescent="0.3">
      <c r="A168" s="11">
        <v>451900000</v>
      </c>
      <c r="B168" s="36"/>
      <c r="C168" s="40" t="s">
        <v>41</v>
      </c>
      <c r="D168" s="40"/>
      <c r="E168" s="23">
        <f t="shared" si="6"/>
        <v>1204482</v>
      </c>
      <c r="F168" s="57">
        <f>954482+250000</f>
        <v>1204482</v>
      </c>
      <c r="G168" s="57"/>
      <c r="H168" s="57"/>
      <c r="I168" s="57"/>
    </row>
    <row r="169" spans="1:9" ht="33" customHeight="1" x14ac:dyDescent="0.3">
      <c r="A169" s="11">
        <v>452900000</v>
      </c>
      <c r="B169" s="36"/>
      <c r="C169" s="40" t="s">
        <v>49</v>
      </c>
      <c r="D169" s="40"/>
      <c r="E169" s="23">
        <f t="shared" si="6"/>
        <v>634482</v>
      </c>
      <c r="F169" s="57">
        <v>634482</v>
      </c>
      <c r="G169" s="57"/>
      <c r="H169" s="57"/>
      <c r="I169" s="57"/>
    </row>
    <row r="170" spans="1:9" ht="33" customHeight="1" x14ac:dyDescent="0.3">
      <c r="A170" s="11">
        <v>450300000</v>
      </c>
      <c r="B170" s="36"/>
      <c r="C170" s="40" t="s">
        <v>33</v>
      </c>
      <c r="D170" s="40"/>
      <c r="E170" s="23">
        <f t="shared" si="6"/>
        <v>200000</v>
      </c>
      <c r="F170" s="57">
        <f>150000+50000-49994</f>
        <v>150006</v>
      </c>
      <c r="G170" s="57"/>
      <c r="H170" s="57">
        <f>49994</f>
        <v>49994</v>
      </c>
      <c r="I170" s="57"/>
    </row>
    <row r="171" spans="1:9" ht="33" customHeight="1" x14ac:dyDescent="0.3">
      <c r="A171" s="11">
        <v>457300000</v>
      </c>
      <c r="B171" s="36"/>
      <c r="C171" s="40" t="s">
        <v>269</v>
      </c>
      <c r="D171" s="40"/>
      <c r="E171" s="23">
        <f t="shared" si="6"/>
        <v>170000</v>
      </c>
      <c r="F171" s="57">
        <v>170000</v>
      </c>
      <c r="G171" s="57"/>
      <c r="H171" s="57"/>
      <c r="I171" s="57"/>
    </row>
    <row r="172" spans="1:9" ht="33" customHeight="1" x14ac:dyDescent="0.3">
      <c r="A172" s="11">
        <v>453600000</v>
      </c>
      <c r="B172" s="36"/>
      <c r="C172" s="40" t="s">
        <v>52</v>
      </c>
      <c r="D172" s="40"/>
      <c r="E172" s="23">
        <f t="shared" si="6"/>
        <v>3053446</v>
      </c>
      <c r="F172" s="57">
        <f>2893446+15000+145000</f>
        <v>3053446</v>
      </c>
      <c r="G172" s="57"/>
      <c r="H172" s="57"/>
      <c r="I172" s="57"/>
    </row>
    <row r="173" spans="1:9" ht="33" customHeight="1" x14ac:dyDescent="0.3">
      <c r="A173" s="11">
        <v>452000000</v>
      </c>
      <c r="B173" s="36"/>
      <c r="C173" s="40" t="s">
        <v>42</v>
      </c>
      <c r="D173" s="40"/>
      <c r="E173" s="23">
        <f t="shared" si="6"/>
        <v>20000</v>
      </c>
      <c r="F173" s="57">
        <v>20000</v>
      </c>
      <c r="G173" s="57"/>
      <c r="H173" s="57"/>
      <c r="I173" s="57"/>
    </row>
    <row r="174" spans="1:9" ht="33" customHeight="1" x14ac:dyDescent="0.3">
      <c r="A174" s="11">
        <v>456300000</v>
      </c>
      <c r="B174" s="36"/>
      <c r="C174" s="40" t="s">
        <v>7</v>
      </c>
      <c r="D174" s="40"/>
      <c r="E174" s="23">
        <f t="shared" si="6"/>
        <v>65000</v>
      </c>
      <c r="F174" s="57">
        <v>65000</v>
      </c>
      <c r="G174" s="57"/>
      <c r="H174" s="57"/>
      <c r="I174" s="57"/>
    </row>
    <row r="175" spans="1:9" ht="33" customHeight="1" x14ac:dyDescent="0.3">
      <c r="A175" s="11">
        <v>453000000</v>
      </c>
      <c r="B175" s="36"/>
      <c r="C175" s="40" t="s">
        <v>50</v>
      </c>
      <c r="D175" s="40"/>
      <c r="E175" s="23">
        <f t="shared" si="6"/>
        <v>160000</v>
      </c>
      <c r="F175" s="57">
        <v>160000</v>
      </c>
      <c r="G175" s="57"/>
      <c r="H175" s="57"/>
      <c r="I175" s="57"/>
    </row>
    <row r="176" spans="1:9" ht="33" customHeight="1" x14ac:dyDescent="0.3">
      <c r="A176" s="11">
        <v>450700000</v>
      </c>
      <c r="B176" s="36"/>
      <c r="C176" s="40" t="s">
        <v>35</v>
      </c>
      <c r="D176" s="40"/>
      <c r="E176" s="23">
        <f t="shared" si="6"/>
        <v>65000</v>
      </c>
      <c r="F176" s="57">
        <v>65000</v>
      </c>
      <c r="G176" s="57"/>
      <c r="H176" s="57"/>
      <c r="I176" s="57"/>
    </row>
    <row r="177" spans="1:9" ht="33" customHeight="1" x14ac:dyDescent="0.3">
      <c r="A177" s="11">
        <v>457500000</v>
      </c>
      <c r="B177" s="36"/>
      <c r="C177" s="40" t="s">
        <v>15</v>
      </c>
      <c r="D177" s="40"/>
      <c r="E177" s="23">
        <f t="shared" si="6"/>
        <v>234482</v>
      </c>
      <c r="F177" s="57">
        <f>184482+50000</f>
        <v>234482</v>
      </c>
      <c r="G177" s="57"/>
      <c r="H177" s="57"/>
      <c r="I177" s="57"/>
    </row>
    <row r="178" spans="1:9" ht="33" customHeight="1" x14ac:dyDescent="0.3">
      <c r="A178" s="11">
        <v>455600000</v>
      </c>
      <c r="B178" s="36"/>
      <c r="C178" s="40" t="s">
        <v>62</v>
      </c>
      <c r="D178" s="40"/>
      <c r="E178" s="23">
        <f t="shared" si="6"/>
        <v>70000</v>
      </c>
      <c r="F178" s="57">
        <v>70000</v>
      </c>
      <c r="G178" s="57"/>
      <c r="H178" s="57"/>
      <c r="I178" s="57"/>
    </row>
    <row r="179" spans="1:9" ht="33" customHeight="1" x14ac:dyDescent="0.3">
      <c r="A179" s="11">
        <v>453500000</v>
      </c>
      <c r="B179" s="36"/>
      <c r="C179" s="40" t="s">
        <v>6</v>
      </c>
      <c r="D179" s="40"/>
      <c r="E179" s="23">
        <f t="shared" si="6"/>
        <v>400000</v>
      </c>
      <c r="F179" s="57">
        <v>400000</v>
      </c>
      <c r="G179" s="57"/>
      <c r="H179" s="57"/>
      <c r="I179" s="57"/>
    </row>
    <row r="180" spans="1:9" ht="33" customHeight="1" x14ac:dyDescent="0.3">
      <c r="A180" s="11">
        <v>456400000</v>
      </c>
      <c r="B180" s="36"/>
      <c r="C180" s="40" t="s">
        <v>8</v>
      </c>
      <c r="D180" s="40"/>
      <c r="E180" s="23">
        <f t="shared" si="6"/>
        <v>295000</v>
      </c>
      <c r="F180" s="57">
        <f>270000+25000</f>
        <v>295000</v>
      </c>
      <c r="G180" s="57"/>
      <c r="H180" s="57"/>
      <c r="I180" s="57"/>
    </row>
    <row r="181" spans="1:9" ht="33" customHeight="1" x14ac:dyDescent="0.3">
      <c r="A181" s="11">
        <v>450600000</v>
      </c>
      <c r="B181" s="36"/>
      <c r="C181" s="40" t="s">
        <v>34</v>
      </c>
      <c r="D181" s="40"/>
      <c r="E181" s="23">
        <f t="shared" si="6"/>
        <v>110000</v>
      </c>
      <c r="F181" s="57">
        <v>110000</v>
      </c>
      <c r="G181" s="57"/>
      <c r="H181" s="57"/>
      <c r="I181" s="57"/>
    </row>
    <row r="182" spans="1:9" ht="33" customHeight="1" x14ac:dyDescent="0.3">
      <c r="A182" s="11">
        <v>455000000</v>
      </c>
      <c r="B182" s="36"/>
      <c r="C182" s="40" t="s">
        <v>58</v>
      </c>
      <c r="D182" s="40"/>
      <c r="E182" s="23">
        <f t="shared" si="6"/>
        <v>160000</v>
      </c>
      <c r="F182" s="57">
        <v>160000</v>
      </c>
      <c r="G182" s="57"/>
      <c r="H182" s="57"/>
      <c r="I182" s="57"/>
    </row>
    <row r="183" spans="1:9" ht="33" customHeight="1" x14ac:dyDescent="0.3">
      <c r="A183" s="11" t="s">
        <v>169</v>
      </c>
      <c r="B183" s="36"/>
      <c r="C183" s="40" t="s">
        <v>170</v>
      </c>
      <c r="D183" s="40"/>
      <c r="E183" s="23">
        <f t="shared" si="6"/>
        <v>417000</v>
      </c>
      <c r="F183" s="57">
        <f>277000+40000+100000</f>
        <v>417000</v>
      </c>
      <c r="G183" s="57"/>
      <c r="H183" s="57"/>
      <c r="I183" s="57"/>
    </row>
    <row r="184" spans="1:9" ht="33" customHeight="1" x14ac:dyDescent="0.3">
      <c r="A184" s="11">
        <v>452100000</v>
      </c>
      <c r="B184" s="36"/>
      <c r="C184" s="40" t="s">
        <v>43</v>
      </c>
      <c r="D184" s="40"/>
      <c r="E184" s="23">
        <f t="shared" si="6"/>
        <v>120000</v>
      </c>
      <c r="F184" s="57">
        <v>120000</v>
      </c>
      <c r="G184" s="57"/>
      <c r="H184" s="57"/>
      <c r="I184" s="57"/>
    </row>
    <row r="185" spans="1:9" ht="33" customHeight="1" x14ac:dyDescent="0.3">
      <c r="A185" s="11" t="s">
        <v>150</v>
      </c>
      <c r="B185" s="36"/>
      <c r="C185" s="40" t="s">
        <v>151</v>
      </c>
      <c r="D185" s="40"/>
      <c r="E185" s="23">
        <f t="shared" si="6"/>
        <v>270000</v>
      </c>
      <c r="F185" s="57">
        <f>270000-150000</f>
        <v>120000</v>
      </c>
      <c r="G185" s="57"/>
      <c r="H185" s="57">
        <f>150000</f>
        <v>150000</v>
      </c>
      <c r="I185" s="57"/>
    </row>
    <row r="186" spans="1:9" ht="33" customHeight="1" x14ac:dyDescent="0.3">
      <c r="A186" s="11">
        <v>455700000</v>
      </c>
      <c r="B186" s="36"/>
      <c r="C186" s="40" t="s">
        <v>63</v>
      </c>
      <c r="D186" s="40"/>
      <c r="E186" s="23">
        <f t="shared" si="6"/>
        <v>70000</v>
      </c>
      <c r="F186" s="57">
        <v>70000</v>
      </c>
      <c r="G186" s="57"/>
      <c r="H186" s="57"/>
      <c r="I186" s="57"/>
    </row>
    <row r="187" spans="1:9" ht="33" customHeight="1" x14ac:dyDescent="0.3">
      <c r="A187" s="11">
        <v>457900000</v>
      </c>
      <c r="B187" s="36"/>
      <c r="C187" s="40" t="s">
        <v>19</v>
      </c>
      <c r="D187" s="40"/>
      <c r="E187" s="23">
        <f t="shared" si="6"/>
        <v>1004482</v>
      </c>
      <c r="F187" s="57">
        <v>1004482</v>
      </c>
      <c r="G187" s="57"/>
      <c r="H187" s="57"/>
      <c r="I187" s="57"/>
    </row>
    <row r="188" spans="1:9" ht="33" customHeight="1" x14ac:dyDescent="0.3">
      <c r="A188" s="11">
        <v>455300000</v>
      </c>
      <c r="B188" s="36"/>
      <c r="C188" s="40" t="s">
        <v>60</v>
      </c>
      <c r="D188" s="40"/>
      <c r="E188" s="23">
        <f t="shared" si="6"/>
        <v>120000</v>
      </c>
      <c r="F188" s="57">
        <v>120000</v>
      </c>
      <c r="G188" s="57"/>
      <c r="H188" s="57"/>
      <c r="I188" s="57"/>
    </row>
    <row r="189" spans="1:9" ht="33" customHeight="1" x14ac:dyDescent="0.3">
      <c r="A189" s="11" t="s">
        <v>173</v>
      </c>
      <c r="B189" s="36"/>
      <c r="C189" s="40" t="s">
        <v>174</v>
      </c>
      <c r="D189" s="40"/>
      <c r="E189" s="23">
        <f t="shared" si="6"/>
        <v>136482</v>
      </c>
      <c r="F189" s="57">
        <v>136482</v>
      </c>
      <c r="G189" s="57"/>
      <c r="H189" s="57"/>
      <c r="I189" s="57"/>
    </row>
    <row r="190" spans="1:9" ht="33" customHeight="1" x14ac:dyDescent="0.3">
      <c r="A190" s="11">
        <v>456500000</v>
      </c>
      <c r="B190" s="36"/>
      <c r="C190" s="40" t="s">
        <v>9</v>
      </c>
      <c r="D190" s="40"/>
      <c r="E190" s="23">
        <f t="shared" si="6"/>
        <v>1474482</v>
      </c>
      <c r="F190" s="57">
        <f>1474482-179988</f>
        <v>1294494</v>
      </c>
      <c r="G190" s="57"/>
      <c r="H190" s="57">
        <f>179988</f>
        <v>179988</v>
      </c>
      <c r="I190" s="57"/>
    </row>
    <row r="191" spans="1:9" ht="33" customHeight="1" x14ac:dyDescent="0.3">
      <c r="A191" s="11">
        <v>454100000</v>
      </c>
      <c r="B191" s="36"/>
      <c r="C191" s="40" t="s">
        <v>66</v>
      </c>
      <c r="D191" s="40"/>
      <c r="E191" s="23">
        <f t="shared" si="6"/>
        <v>160000</v>
      </c>
      <c r="F191" s="57">
        <v>160000</v>
      </c>
      <c r="G191" s="57"/>
      <c r="H191" s="57"/>
      <c r="I191" s="57"/>
    </row>
    <row r="192" spans="1:9" ht="33" customHeight="1" x14ac:dyDescent="0.3">
      <c r="A192" s="11">
        <v>453700000</v>
      </c>
      <c r="B192" s="36"/>
      <c r="C192" s="40" t="s">
        <v>53</v>
      </c>
      <c r="D192" s="40"/>
      <c r="E192" s="23">
        <f t="shared" si="6"/>
        <v>170000</v>
      </c>
      <c r="F192" s="57">
        <v>170000</v>
      </c>
      <c r="G192" s="57"/>
      <c r="H192" s="57"/>
      <c r="I192" s="57"/>
    </row>
    <row r="193" spans="1:9" ht="33" customHeight="1" x14ac:dyDescent="0.3">
      <c r="A193" s="11">
        <v>458000000</v>
      </c>
      <c r="B193" s="36"/>
      <c r="C193" s="40" t="s">
        <v>80</v>
      </c>
      <c r="D193" s="40"/>
      <c r="E193" s="23">
        <f t="shared" si="6"/>
        <v>600000</v>
      </c>
      <c r="F193" s="57">
        <v>600000</v>
      </c>
      <c r="G193" s="57"/>
      <c r="H193" s="57"/>
      <c r="I193" s="57"/>
    </row>
    <row r="194" spans="1:9" ht="33" customHeight="1" x14ac:dyDescent="0.3">
      <c r="A194" s="11">
        <v>454400000</v>
      </c>
      <c r="B194" s="36"/>
      <c r="C194" s="40" t="s">
        <v>79</v>
      </c>
      <c r="D194" s="40"/>
      <c r="E194" s="23">
        <f t="shared" si="6"/>
        <v>140000</v>
      </c>
      <c r="F194" s="57">
        <f>120000+20000</f>
        <v>140000</v>
      </c>
      <c r="G194" s="57"/>
      <c r="H194" s="57"/>
      <c r="I194" s="57"/>
    </row>
    <row r="195" spans="1:9" ht="33" customHeight="1" x14ac:dyDescent="0.3">
      <c r="A195" s="11">
        <v>451600000</v>
      </c>
      <c r="B195" s="36"/>
      <c r="C195" s="40" t="s">
        <v>40</v>
      </c>
      <c r="D195" s="40"/>
      <c r="E195" s="23">
        <f t="shared" si="6"/>
        <v>307241</v>
      </c>
      <c r="F195" s="57">
        <v>307241</v>
      </c>
      <c r="G195" s="57"/>
      <c r="H195" s="57"/>
      <c r="I195" s="57"/>
    </row>
    <row r="196" spans="1:9" ht="33" customHeight="1" x14ac:dyDescent="0.3">
      <c r="A196" s="11">
        <v>450900000</v>
      </c>
      <c r="B196" s="36"/>
      <c r="C196" s="40" t="s">
        <v>36</v>
      </c>
      <c r="D196" s="40"/>
      <c r="E196" s="23">
        <f t="shared" si="6"/>
        <v>146000</v>
      </c>
      <c r="F196" s="57">
        <v>146000</v>
      </c>
      <c r="G196" s="57"/>
      <c r="H196" s="57"/>
      <c r="I196" s="57"/>
    </row>
    <row r="197" spans="1:9" ht="33" customHeight="1" x14ac:dyDescent="0.3">
      <c r="A197" s="11">
        <v>453900000</v>
      </c>
      <c r="B197" s="36"/>
      <c r="C197" s="40" t="s">
        <v>236</v>
      </c>
      <c r="D197" s="40"/>
      <c r="E197" s="23">
        <f t="shared" si="6"/>
        <v>100000</v>
      </c>
      <c r="F197" s="57">
        <v>100000</v>
      </c>
      <c r="G197" s="57"/>
      <c r="H197" s="57"/>
      <c r="I197" s="57"/>
    </row>
    <row r="198" spans="1:9" ht="33" customHeight="1" x14ac:dyDescent="0.3">
      <c r="A198" s="11" t="s">
        <v>179</v>
      </c>
      <c r="B198" s="36"/>
      <c r="C198" s="40" t="s">
        <v>180</v>
      </c>
      <c r="D198" s="40"/>
      <c r="E198" s="23">
        <f t="shared" si="6"/>
        <v>60000</v>
      </c>
      <c r="F198" s="57">
        <v>60000</v>
      </c>
      <c r="G198" s="57"/>
      <c r="H198" s="57"/>
      <c r="I198" s="57"/>
    </row>
    <row r="199" spans="1:9" ht="33" customHeight="1" x14ac:dyDescent="0.3">
      <c r="A199" s="11" t="s">
        <v>181</v>
      </c>
      <c r="B199" s="36"/>
      <c r="C199" s="40" t="s">
        <v>132</v>
      </c>
      <c r="D199" s="40"/>
      <c r="E199" s="23">
        <f t="shared" si="6"/>
        <v>50000</v>
      </c>
      <c r="F199" s="57">
        <v>50000</v>
      </c>
      <c r="G199" s="57"/>
      <c r="H199" s="57"/>
      <c r="I199" s="57"/>
    </row>
    <row r="200" spans="1:9" ht="33" customHeight="1" x14ac:dyDescent="0.3">
      <c r="A200" s="11">
        <v>451100000</v>
      </c>
      <c r="B200" s="36"/>
      <c r="C200" s="40" t="s">
        <v>67</v>
      </c>
      <c r="D200" s="40"/>
      <c r="E200" s="23">
        <f t="shared" si="6"/>
        <v>2293964</v>
      </c>
      <c r="F200" s="57">
        <f>1234482+1059482</f>
        <v>2293964</v>
      </c>
      <c r="G200" s="57"/>
      <c r="H200" s="57"/>
      <c r="I200" s="57"/>
    </row>
    <row r="201" spans="1:9" ht="33" customHeight="1" x14ac:dyDescent="0.3">
      <c r="A201" s="11">
        <v>458300000</v>
      </c>
      <c r="B201" s="36"/>
      <c r="C201" s="40" t="s">
        <v>21</v>
      </c>
      <c r="D201" s="40"/>
      <c r="E201" s="23">
        <f t="shared" si="6"/>
        <v>330000</v>
      </c>
      <c r="F201" s="57">
        <v>330000</v>
      </c>
      <c r="G201" s="57"/>
      <c r="H201" s="57"/>
      <c r="I201" s="57"/>
    </row>
    <row r="202" spans="1:9" ht="33" customHeight="1" x14ac:dyDescent="0.3">
      <c r="A202" s="11">
        <v>451200000</v>
      </c>
      <c r="B202" s="36"/>
      <c r="C202" s="40" t="s">
        <v>37</v>
      </c>
      <c r="D202" s="40"/>
      <c r="E202" s="23">
        <f t="shared" si="6"/>
        <v>100000</v>
      </c>
      <c r="F202" s="57">
        <v>100000</v>
      </c>
      <c r="G202" s="57"/>
      <c r="H202" s="57"/>
      <c r="I202" s="57"/>
    </row>
    <row r="203" spans="1:9" ht="33" customHeight="1" x14ac:dyDescent="0.3">
      <c r="A203" s="11">
        <v>456600000</v>
      </c>
      <c r="B203" s="36"/>
      <c r="C203" s="40" t="s">
        <v>10</v>
      </c>
      <c r="D203" s="40"/>
      <c r="E203" s="23">
        <f>F203+H203</f>
        <v>50000</v>
      </c>
      <c r="F203" s="57">
        <f>50000</f>
        <v>50000</v>
      </c>
      <c r="G203" s="57"/>
      <c r="H203" s="57"/>
      <c r="I203" s="57"/>
    </row>
    <row r="204" spans="1:9" ht="33" customHeight="1" x14ac:dyDescent="0.3">
      <c r="A204" s="11">
        <v>455800000</v>
      </c>
      <c r="B204" s="36"/>
      <c r="C204" s="40" t="s">
        <v>64</v>
      </c>
      <c r="D204" s="40"/>
      <c r="E204" s="23">
        <f t="shared" si="6"/>
        <v>120000</v>
      </c>
      <c r="F204" s="57">
        <v>120000</v>
      </c>
      <c r="G204" s="57"/>
      <c r="H204" s="57"/>
      <c r="I204" s="57"/>
    </row>
    <row r="205" spans="1:9" ht="33" customHeight="1" x14ac:dyDescent="0.3">
      <c r="A205" s="11">
        <v>454300000</v>
      </c>
      <c r="B205" s="36"/>
      <c r="C205" s="40" t="s">
        <v>56</v>
      </c>
      <c r="D205" s="40"/>
      <c r="E205" s="23">
        <f t="shared" si="6"/>
        <v>405000</v>
      </c>
      <c r="F205" s="57">
        <f>205000+200000</f>
        <v>405000</v>
      </c>
      <c r="G205" s="57"/>
      <c r="H205" s="57"/>
      <c r="I205" s="57"/>
    </row>
    <row r="206" spans="1:9" ht="31.5" customHeight="1" x14ac:dyDescent="0.3">
      <c r="A206" s="11">
        <v>458600000</v>
      </c>
      <c r="B206" s="36"/>
      <c r="C206" s="40" t="s">
        <v>23</v>
      </c>
      <c r="D206" s="40"/>
      <c r="E206" s="23">
        <f t="shared" si="6"/>
        <v>839482</v>
      </c>
      <c r="F206" s="57">
        <v>839482</v>
      </c>
      <c r="G206" s="57"/>
      <c r="H206" s="57"/>
      <c r="I206" s="57"/>
    </row>
    <row r="207" spans="1:9" ht="33" customHeight="1" x14ac:dyDescent="0.3">
      <c r="A207" s="11">
        <v>456800000</v>
      </c>
      <c r="B207" s="36"/>
      <c r="C207" s="40" t="s">
        <v>12</v>
      </c>
      <c r="D207" s="40"/>
      <c r="E207" s="23">
        <f t="shared" si="6"/>
        <v>290000</v>
      </c>
      <c r="F207" s="57">
        <f>325000+35000-70000</f>
        <v>290000</v>
      </c>
      <c r="G207" s="57"/>
      <c r="H207" s="57"/>
      <c r="I207" s="57"/>
    </row>
    <row r="208" spans="1:9" ht="33" customHeight="1" x14ac:dyDescent="0.3">
      <c r="A208" s="11">
        <v>455900000</v>
      </c>
      <c r="B208" s="36"/>
      <c r="C208" s="40" t="s">
        <v>65</v>
      </c>
      <c r="D208" s="40"/>
      <c r="E208" s="23">
        <f t="shared" si="6"/>
        <v>1138964</v>
      </c>
      <c r="F208" s="57">
        <f>1064482+30000+44482</f>
        <v>1138964</v>
      </c>
      <c r="G208" s="57"/>
      <c r="H208" s="57"/>
      <c r="I208" s="57"/>
    </row>
    <row r="209" spans="1:9" ht="33" customHeight="1" x14ac:dyDescent="0.3">
      <c r="A209" s="11">
        <v>452300000</v>
      </c>
      <c r="B209" s="36"/>
      <c r="C209" s="40" t="s">
        <v>44</v>
      </c>
      <c r="D209" s="40"/>
      <c r="E209" s="23">
        <f t="shared" si="6"/>
        <v>700000</v>
      </c>
      <c r="F209" s="57">
        <v>700000</v>
      </c>
      <c r="G209" s="57"/>
      <c r="H209" s="57"/>
      <c r="I209" s="57"/>
    </row>
    <row r="210" spans="1:9" ht="33" customHeight="1" x14ac:dyDescent="0.3">
      <c r="A210" s="11">
        <v>458700000</v>
      </c>
      <c r="B210" s="36"/>
      <c r="C210" s="40" t="s">
        <v>24</v>
      </c>
      <c r="D210" s="40"/>
      <c r="E210" s="23">
        <f t="shared" si="6"/>
        <v>901000</v>
      </c>
      <c r="F210" s="57">
        <v>901000</v>
      </c>
      <c r="G210" s="57"/>
      <c r="H210" s="57"/>
      <c r="I210" s="57"/>
    </row>
    <row r="211" spans="1:9" ht="33" customHeight="1" x14ac:dyDescent="0.3">
      <c r="A211" s="11">
        <v>458800000</v>
      </c>
      <c r="B211" s="36"/>
      <c r="C211" s="40" t="s">
        <v>25</v>
      </c>
      <c r="D211" s="40"/>
      <c r="E211" s="23">
        <f t="shared" si="6"/>
        <v>270000</v>
      </c>
      <c r="F211" s="57">
        <f>250000+20000</f>
        <v>270000</v>
      </c>
      <c r="G211" s="57"/>
      <c r="H211" s="57"/>
      <c r="I211" s="57"/>
    </row>
    <row r="212" spans="1:9" ht="33" customHeight="1" x14ac:dyDescent="0.3">
      <c r="A212" s="11">
        <v>454600000</v>
      </c>
      <c r="B212" s="36"/>
      <c r="C212" s="40" t="s">
        <v>57</v>
      </c>
      <c r="D212" s="40"/>
      <c r="E212" s="23">
        <f t="shared" si="6"/>
        <v>50000</v>
      </c>
      <c r="F212" s="57">
        <v>50000</v>
      </c>
      <c r="G212" s="57"/>
      <c r="H212" s="57"/>
      <c r="I212" s="57"/>
    </row>
    <row r="213" spans="1:9" ht="33" customHeight="1" x14ac:dyDescent="0.3">
      <c r="A213" s="11">
        <v>452400000</v>
      </c>
      <c r="B213" s="36"/>
      <c r="C213" s="40" t="s">
        <v>45</v>
      </c>
      <c r="D213" s="40"/>
      <c r="E213" s="23">
        <f t="shared" si="6"/>
        <v>20000</v>
      </c>
      <c r="F213" s="57">
        <v>20000</v>
      </c>
      <c r="G213" s="57"/>
      <c r="H213" s="57"/>
      <c r="I213" s="57"/>
    </row>
    <row r="214" spans="1:9" ht="33" customHeight="1" x14ac:dyDescent="0.3">
      <c r="A214" s="11">
        <v>455500000</v>
      </c>
      <c r="B214" s="36"/>
      <c r="C214" s="40" t="s">
        <v>61</v>
      </c>
      <c r="D214" s="40"/>
      <c r="E214" s="23">
        <f t="shared" si="6"/>
        <v>150000</v>
      </c>
      <c r="F214" s="57">
        <f>205000-55000</f>
        <v>150000</v>
      </c>
      <c r="G214" s="57"/>
      <c r="H214" s="57"/>
      <c r="I214" s="57"/>
    </row>
    <row r="215" spans="1:9" ht="33" customHeight="1" x14ac:dyDescent="0.3">
      <c r="A215" s="11">
        <v>454800000</v>
      </c>
      <c r="B215" s="36"/>
      <c r="C215" s="40" t="s">
        <v>239</v>
      </c>
      <c r="D215" s="40"/>
      <c r="E215" s="23">
        <f t="shared" si="6"/>
        <v>30000</v>
      </c>
      <c r="F215" s="57">
        <v>30000</v>
      </c>
      <c r="G215" s="57"/>
      <c r="H215" s="57"/>
      <c r="I215" s="57"/>
    </row>
    <row r="216" spans="1:9" s="2" customFormat="1" ht="33" customHeight="1" x14ac:dyDescent="0.3">
      <c r="A216" s="11">
        <v>459000000</v>
      </c>
      <c r="B216" s="36"/>
      <c r="C216" s="40" t="s">
        <v>99</v>
      </c>
      <c r="D216" s="40"/>
      <c r="E216" s="23">
        <f t="shared" ref="E216:E229" si="7">F216+H216</f>
        <v>70000</v>
      </c>
      <c r="F216" s="57">
        <v>70000</v>
      </c>
      <c r="G216" s="57"/>
      <c r="H216" s="57"/>
      <c r="I216" s="57"/>
    </row>
    <row r="217" spans="1:9" s="2" customFormat="1" ht="33" customHeight="1" x14ac:dyDescent="0.3">
      <c r="A217" s="11">
        <v>451300000</v>
      </c>
      <c r="B217" s="36"/>
      <c r="C217" s="40" t="s">
        <v>38</v>
      </c>
      <c r="D217" s="40"/>
      <c r="E217" s="23">
        <f t="shared" si="7"/>
        <v>224482</v>
      </c>
      <c r="F217" s="57">
        <f>55000+49482+120000</f>
        <v>224482</v>
      </c>
      <c r="G217" s="57"/>
      <c r="H217" s="57"/>
      <c r="I217" s="57"/>
    </row>
    <row r="218" spans="1:9" s="2" customFormat="1" ht="33" customHeight="1" x14ac:dyDescent="0.3">
      <c r="A218" s="11">
        <v>452500000</v>
      </c>
      <c r="B218" s="36"/>
      <c r="C218" s="40" t="s">
        <v>46</v>
      </c>
      <c r="D218" s="40"/>
      <c r="E218" s="23">
        <f t="shared" si="7"/>
        <v>90000</v>
      </c>
      <c r="F218" s="57">
        <v>90000</v>
      </c>
      <c r="G218" s="57"/>
      <c r="H218" s="57"/>
      <c r="I218" s="57"/>
    </row>
    <row r="219" spans="1:9" s="2" customFormat="1" ht="33" customHeight="1" x14ac:dyDescent="0.3">
      <c r="A219" s="11" t="s">
        <v>195</v>
      </c>
      <c r="B219" s="36"/>
      <c r="C219" s="40" t="s">
        <v>196</v>
      </c>
      <c r="D219" s="40"/>
      <c r="E219" s="23">
        <f t="shared" si="7"/>
        <v>270000</v>
      </c>
      <c r="F219" s="57">
        <f>250000+20000</f>
        <v>270000</v>
      </c>
      <c r="G219" s="57"/>
      <c r="H219" s="57"/>
      <c r="I219" s="57"/>
    </row>
    <row r="220" spans="1:9" s="2" customFormat="1" ht="33" customHeight="1" x14ac:dyDescent="0.3">
      <c r="A220" s="11">
        <v>452600000</v>
      </c>
      <c r="B220" s="36"/>
      <c r="C220" s="40" t="s">
        <v>47</v>
      </c>
      <c r="D220" s="40"/>
      <c r="E220" s="23">
        <f t="shared" si="7"/>
        <v>337241</v>
      </c>
      <c r="F220" s="57">
        <f>327241+30000-20000-210241</f>
        <v>127000</v>
      </c>
      <c r="G220" s="57"/>
      <c r="H220" s="57">
        <f>210241</f>
        <v>210241</v>
      </c>
      <c r="I220" s="57"/>
    </row>
    <row r="221" spans="1:9" s="2" customFormat="1" ht="33" customHeight="1" x14ac:dyDescent="0.3">
      <c r="A221" s="11">
        <v>454200000</v>
      </c>
      <c r="B221" s="36"/>
      <c r="C221" s="40" t="s">
        <v>55</v>
      </c>
      <c r="D221" s="40"/>
      <c r="E221" s="23">
        <f t="shared" si="7"/>
        <v>70000</v>
      </c>
      <c r="F221" s="57">
        <v>70000</v>
      </c>
      <c r="G221" s="57"/>
      <c r="H221" s="57"/>
      <c r="I221" s="57"/>
    </row>
    <row r="222" spans="1:9" s="2" customFormat="1" ht="33" customHeight="1" x14ac:dyDescent="0.3">
      <c r="A222" s="11">
        <v>455400000</v>
      </c>
      <c r="B222" s="36"/>
      <c r="C222" s="40" t="s">
        <v>232</v>
      </c>
      <c r="D222" s="40"/>
      <c r="E222" s="23">
        <f t="shared" si="7"/>
        <v>100000</v>
      </c>
      <c r="F222" s="57">
        <v>100000</v>
      </c>
      <c r="G222" s="57"/>
      <c r="H222" s="57"/>
      <c r="I222" s="57"/>
    </row>
    <row r="223" spans="1:9" s="2" customFormat="1" ht="33" customHeight="1" x14ac:dyDescent="0.3">
      <c r="A223" s="11">
        <v>452700000</v>
      </c>
      <c r="B223" s="36"/>
      <c r="C223" s="40" t="s">
        <v>48</v>
      </c>
      <c r="D223" s="40"/>
      <c r="E223" s="23">
        <f t="shared" si="7"/>
        <v>1570000</v>
      </c>
      <c r="F223" s="57">
        <f>1474482-84482+180000</f>
        <v>1570000</v>
      </c>
      <c r="G223" s="57"/>
      <c r="H223" s="57"/>
      <c r="I223" s="57"/>
    </row>
    <row r="224" spans="1:9" s="2" customFormat="1" ht="33" customHeight="1" x14ac:dyDescent="0.3">
      <c r="A224" s="11">
        <v>454000000</v>
      </c>
      <c r="B224" s="36"/>
      <c r="C224" s="40" t="s">
        <v>54</v>
      </c>
      <c r="D224" s="40"/>
      <c r="E224" s="23">
        <f t="shared" si="7"/>
        <v>395482</v>
      </c>
      <c r="F224" s="57">
        <v>395482</v>
      </c>
      <c r="G224" s="57"/>
      <c r="H224" s="57"/>
      <c r="I224" s="57"/>
    </row>
    <row r="225" spans="1:9" s="2" customFormat="1" ht="33" customHeight="1" x14ac:dyDescent="0.3">
      <c r="A225" s="11">
        <v>456700000</v>
      </c>
      <c r="B225" s="36"/>
      <c r="C225" s="40" t="s">
        <v>11</v>
      </c>
      <c r="D225" s="40"/>
      <c r="E225" s="23">
        <f>F225+H225</f>
        <v>20000</v>
      </c>
      <c r="F225" s="57">
        <f>20000</f>
        <v>20000</v>
      </c>
      <c r="G225" s="57"/>
      <c r="H225" s="57"/>
      <c r="I225" s="57"/>
    </row>
    <row r="226" spans="1:9" s="2" customFormat="1" ht="33" customHeight="1" x14ac:dyDescent="0.3">
      <c r="A226" s="11" t="s">
        <v>201</v>
      </c>
      <c r="B226" s="36"/>
      <c r="C226" s="40" t="s">
        <v>202</v>
      </c>
      <c r="D226" s="40"/>
      <c r="E226" s="22">
        <f>F226+H226</f>
        <v>84482</v>
      </c>
      <c r="F226" s="57">
        <f>84482</f>
        <v>84482</v>
      </c>
      <c r="G226" s="57"/>
      <c r="H226" s="57"/>
      <c r="I226" s="57"/>
    </row>
    <row r="227" spans="1:9" s="2" customFormat="1" ht="33" customHeight="1" x14ac:dyDescent="0.3">
      <c r="A227" s="11">
        <v>455100000</v>
      </c>
      <c r="B227" s="36"/>
      <c r="C227" s="40" t="s">
        <v>59</v>
      </c>
      <c r="D227" s="40"/>
      <c r="E227" s="23">
        <f t="shared" si="7"/>
        <v>238964</v>
      </c>
      <c r="F227" s="57">
        <f>288964-50000-30110</f>
        <v>208854</v>
      </c>
      <c r="G227" s="57"/>
      <c r="H227" s="57">
        <f>30110</f>
        <v>30110</v>
      </c>
      <c r="I227" s="57"/>
    </row>
    <row r="228" spans="1:9" s="2" customFormat="1" ht="33" customHeight="1" x14ac:dyDescent="0.3">
      <c r="A228" s="11">
        <v>455200000</v>
      </c>
      <c r="B228" s="36"/>
      <c r="C228" s="40" t="s">
        <v>237</v>
      </c>
      <c r="D228" s="40"/>
      <c r="E228" s="23">
        <f t="shared" si="7"/>
        <v>1798964</v>
      </c>
      <c r="F228" s="57">
        <v>1798964</v>
      </c>
      <c r="G228" s="57"/>
      <c r="H228" s="57"/>
      <c r="I228" s="57"/>
    </row>
    <row r="229" spans="1:9" ht="33" customHeight="1" x14ac:dyDescent="0.3">
      <c r="A229" s="11">
        <v>454700000</v>
      </c>
      <c r="B229" s="36"/>
      <c r="C229" s="40" t="s">
        <v>231</v>
      </c>
      <c r="D229" s="40"/>
      <c r="E229" s="23">
        <f t="shared" si="7"/>
        <v>50000</v>
      </c>
      <c r="F229" s="57">
        <v>50000</v>
      </c>
      <c r="G229" s="57"/>
      <c r="H229" s="57"/>
      <c r="I229" s="57"/>
    </row>
    <row r="230" spans="1:9" s="4" customFormat="1" ht="33" customHeight="1" x14ac:dyDescent="0.3">
      <c r="A230" s="58"/>
      <c r="B230" s="58"/>
      <c r="C230" s="130" t="s">
        <v>125</v>
      </c>
      <c r="D230" s="130"/>
      <c r="E230" s="20"/>
      <c r="F230" s="86"/>
      <c r="G230" s="86"/>
      <c r="H230" s="86"/>
      <c r="I230" s="86"/>
    </row>
    <row r="231" spans="1:9" s="6" customFormat="1" ht="64.5" customHeight="1" x14ac:dyDescent="0.3">
      <c r="A231" s="15" t="s">
        <v>96</v>
      </c>
      <c r="B231" s="16">
        <v>9770</v>
      </c>
      <c r="C231" s="45" t="s">
        <v>105</v>
      </c>
      <c r="D231" s="45"/>
      <c r="E231" s="21">
        <f>SUM(E232:E238)</f>
        <v>3500000</v>
      </c>
      <c r="F231" s="123" t="s">
        <v>222</v>
      </c>
      <c r="G231" s="124"/>
      <c r="H231" s="124"/>
      <c r="I231" s="125"/>
    </row>
    <row r="232" spans="1:9" ht="33" customHeight="1" x14ac:dyDescent="0.3">
      <c r="A232" s="11" t="s">
        <v>112</v>
      </c>
      <c r="B232" s="36"/>
      <c r="C232" s="40" t="s">
        <v>106</v>
      </c>
      <c r="D232" s="40"/>
      <c r="E232" s="23">
        <f>F232</f>
        <v>500000</v>
      </c>
      <c r="F232" s="64">
        <f>500000</f>
        <v>500000</v>
      </c>
      <c r="G232" s="65"/>
      <c r="H232" s="65"/>
      <c r="I232" s="66"/>
    </row>
    <row r="233" spans="1:9" ht="33" customHeight="1" x14ac:dyDescent="0.3">
      <c r="A233" s="11" t="s">
        <v>118</v>
      </c>
      <c r="B233" s="36"/>
      <c r="C233" s="40" t="s">
        <v>111</v>
      </c>
      <c r="D233" s="40"/>
      <c r="E233" s="23">
        <f t="shared" ref="E233:E238" si="8">F233</f>
        <v>500000</v>
      </c>
      <c r="F233" s="64">
        <f>500000</f>
        <v>500000</v>
      </c>
      <c r="G233" s="65"/>
      <c r="H233" s="65"/>
      <c r="I233" s="66"/>
    </row>
    <row r="234" spans="1:9" ht="33" customHeight="1" x14ac:dyDescent="0.3">
      <c r="A234" s="11" t="s">
        <v>113</v>
      </c>
      <c r="B234" s="36"/>
      <c r="C234" s="40" t="s">
        <v>107</v>
      </c>
      <c r="D234" s="40"/>
      <c r="E234" s="23">
        <f t="shared" si="8"/>
        <v>500000</v>
      </c>
      <c r="F234" s="64">
        <f>500000</f>
        <v>500000</v>
      </c>
      <c r="G234" s="65"/>
      <c r="H234" s="65"/>
      <c r="I234" s="66"/>
    </row>
    <row r="235" spans="1:9" ht="33" customHeight="1" x14ac:dyDescent="0.3">
      <c r="A235" s="11" t="s">
        <v>114</v>
      </c>
      <c r="B235" s="36"/>
      <c r="C235" s="40" t="s">
        <v>108</v>
      </c>
      <c r="D235" s="40"/>
      <c r="E235" s="23">
        <f t="shared" si="8"/>
        <v>500000</v>
      </c>
      <c r="F235" s="64">
        <f t="shared" ref="F235:F238" si="9">500000</f>
        <v>500000</v>
      </c>
      <c r="G235" s="65"/>
      <c r="H235" s="65"/>
      <c r="I235" s="66"/>
    </row>
    <row r="236" spans="1:9" ht="33" customHeight="1" x14ac:dyDescent="0.3">
      <c r="A236" s="11" t="s">
        <v>116</v>
      </c>
      <c r="B236" s="36"/>
      <c r="C236" s="40" t="s">
        <v>109</v>
      </c>
      <c r="D236" s="40"/>
      <c r="E236" s="23">
        <f t="shared" si="8"/>
        <v>500000</v>
      </c>
      <c r="F236" s="64">
        <f t="shared" si="9"/>
        <v>500000</v>
      </c>
      <c r="G236" s="65"/>
      <c r="H236" s="65"/>
      <c r="I236" s="66"/>
    </row>
    <row r="237" spans="1:9" ht="33" customHeight="1" x14ac:dyDescent="0.3">
      <c r="A237" s="11" t="s">
        <v>115</v>
      </c>
      <c r="B237" s="36"/>
      <c r="C237" s="40" t="s">
        <v>128</v>
      </c>
      <c r="D237" s="40"/>
      <c r="E237" s="23">
        <f>F237</f>
        <v>500000</v>
      </c>
      <c r="F237" s="64">
        <f t="shared" si="9"/>
        <v>500000</v>
      </c>
      <c r="G237" s="65"/>
      <c r="H237" s="65"/>
      <c r="I237" s="66"/>
    </row>
    <row r="238" spans="1:9" ht="33" customHeight="1" x14ac:dyDescent="0.3">
      <c r="A238" s="11" t="s">
        <v>117</v>
      </c>
      <c r="B238" s="36"/>
      <c r="C238" s="40" t="s">
        <v>110</v>
      </c>
      <c r="D238" s="40"/>
      <c r="E238" s="23">
        <f t="shared" si="8"/>
        <v>500000</v>
      </c>
      <c r="F238" s="64">
        <f t="shared" si="9"/>
        <v>500000</v>
      </c>
      <c r="G238" s="65"/>
      <c r="H238" s="65"/>
      <c r="I238" s="66"/>
    </row>
    <row r="239" spans="1:9" s="4" customFormat="1" ht="39.75" customHeight="1" x14ac:dyDescent="0.3">
      <c r="A239" s="85"/>
      <c r="B239" s="85"/>
      <c r="C239" s="59" t="s">
        <v>126</v>
      </c>
      <c r="D239" s="59"/>
      <c r="E239" s="20"/>
      <c r="F239" s="86"/>
      <c r="G239" s="86"/>
      <c r="H239" s="86"/>
      <c r="I239" s="86"/>
    </row>
    <row r="240" spans="1:9" ht="58.5" customHeight="1" x14ac:dyDescent="0.3">
      <c r="A240" s="33" t="s">
        <v>74</v>
      </c>
      <c r="B240" s="16">
        <v>9770</v>
      </c>
      <c r="C240" s="46" t="s">
        <v>98</v>
      </c>
      <c r="D240" s="47"/>
      <c r="E240" s="24">
        <f>SUM(E241:E315)</f>
        <v>5485800</v>
      </c>
      <c r="F240" s="61" t="s">
        <v>86</v>
      </c>
      <c r="G240" s="62"/>
      <c r="H240" s="62"/>
      <c r="I240" s="63"/>
    </row>
    <row r="241" spans="1:9" ht="33" customHeight="1" x14ac:dyDescent="0.3">
      <c r="A241" s="11">
        <v>457400000</v>
      </c>
      <c r="B241" s="36"/>
      <c r="C241" s="43" t="s">
        <v>14</v>
      </c>
      <c r="D241" s="44"/>
      <c r="E241" s="23">
        <f>23850</f>
        <v>23850</v>
      </c>
      <c r="F241" s="64">
        <f>E241</f>
        <v>23850</v>
      </c>
      <c r="G241" s="65"/>
      <c r="H241" s="65"/>
      <c r="I241" s="66"/>
    </row>
    <row r="242" spans="1:9" ht="33" customHeight="1" x14ac:dyDescent="0.3">
      <c r="A242" s="11">
        <v>457600000</v>
      </c>
      <c r="B242" s="36"/>
      <c r="C242" s="40" t="s">
        <v>16</v>
      </c>
      <c r="D242" s="40"/>
      <c r="E242" s="23">
        <f>2146500+64395</f>
        <v>2210895</v>
      </c>
      <c r="F242" s="64">
        <f>E242</f>
        <v>2210895</v>
      </c>
      <c r="G242" s="65"/>
      <c r="H242" s="65"/>
      <c r="I242" s="66"/>
    </row>
    <row r="243" spans="1:9" ht="33" customHeight="1" x14ac:dyDescent="0.3">
      <c r="A243" s="11">
        <v>457700000</v>
      </c>
      <c r="B243" s="36"/>
      <c r="C243" s="40" t="s">
        <v>17</v>
      </c>
      <c r="D243" s="40"/>
      <c r="E243" s="23">
        <f>102555+11925</f>
        <v>114480</v>
      </c>
      <c r="F243" s="64">
        <f>E243</f>
        <v>114480</v>
      </c>
      <c r="G243" s="65"/>
      <c r="H243" s="65"/>
      <c r="I243" s="66"/>
    </row>
    <row r="244" spans="1:9" ht="33" customHeight="1" x14ac:dyDescent="0.3">
      <c r="A244" s="11">
        <v>457100000</v>
      </c>
      <c r="B244" s="36"/>
      <c r="C244" s="40" t="s">
        <v>100</v>
      </c>
      <c r="D244" s="40"/>
      <c r="E244" s="23">
        <f>395910</f>
        <v>395910</v>
      </c>
      <c r="F244" s="64">
        <f t="shared" ref="F244:F305" si="10">E244</f>
        <v>395910</v>
      </c>
      <c r="G244" s="65"/>
      <c r="H244" s="65"/>
      <c r="I244" s="66"/>
    </row>
    <row r="245" spans="1:9" ht="33" customHeight="1" x14ac:dyDescent="0.3">
      <c r="A245" s="11">
        <v>457810000</v>
      </c>
      <c r="B245" s="36"/>
      <c r="C245" s="40" t="s">
        <v>18</v>
      </c>
      <c r="D245" s="40"/>
      <c r="E245" s="23">
        <f>861285</f>
        <v>861285</v>
      </c>
      <c r="F245" s="64">
        <f t="shared" si="10"/>
        <v>861285</v>
      </c>
      <c r="G245" s="65"/>
      <c r="H245" s="65"/>
      <c r="I245" s="66"/>
    </row>
    <row r="246" spans="1:9" ht="33" customHeight="1" x14ac:dyDescent="0.3">
      <c r="A246" s="11">
        <v>456100000</v>
      </c>
      <c r="B246" s="36"/>
      <c r="C246" s="40" t="s">
        <v>28</v>
      </c>
      <c r="D246" s="40"/>
      <c r="E246" s="23">
        <f>52470</f>
        <v>52470</v>
      </c>
      <c r="F246" s="64">
        <f t="shared" si="10"/>
        <v>52470</v>
      </c>
      <c r="G246" s="65"/>
      <c r="H246" s="65"/>
      <c r="I246" s="66"/>
    </row>
    <row r="247" spans="1:9" ht="33" customHeight="1" x14ac:dyDescent="0.3">
      <c r="A247" s="11">
        <v>458100000</v>
      </c>
      <c r="B247" s="36"/>
      <c r="C247" s="40" t="s">
        <v>20</v>
      </c>
      <c r="D247" s="40"/>
      <c r="E247" s="23">
        <f>109710</f>
        <v>109710</v>
      </c>
      <c r="F247" s="64">
        <f t="shared" si="10"/>
        <v>109710</v>
      </c>
      <c r="G247" s="65"/>
      <c r="H247" s="65"/>
      <c r="I247" s="66"/>
    </row>
    <row r="248" spans="1:9" ht="33" customHeight="1" x14ac:dyDescent="0.3">
      <c r="A248" s="11">
        <v>458400000</v>
      </c>
      <c r="B248" s="36"/>
      <c r="C248" s="40" t="s">
        <v>22</v>
      </c>
      <c r="D248" s="40"/>
      <c r="E248" s="23">
        <f>202725</f>
        <v>202725</v>
      </c>
      <c r="F248" s="64">
        <f t="shared" si="10"/>
        <v>202725</v>
      </c>
      <c r="G248" s="65"/>
      <c r="H248" s="65"/>
      <c r="I248" s="66"/>
    </row>
    <row r="249" spans="1:9" ht="33" customHeight="1" x14ac:dyDescent="0.3">
      <c r="A249" s="11">
        <v>456200000</v>
      </c>
      <c r="B249" s="36"/>
      <c r="C249" s="40" t="s">
        <v>29</v>
      </c>
      <c r="D249" s="40"/>
      <c r="E249" s="23">
        <f>83475</f>
        <v>83475</v>
      </c>
      <c r="F249" s="64">
        <f t="shared" si="10"/>
        <v>83475</v>
      </c>
      <c r="G249" s="65"/>
      <c r="H249" s="65"/>
      <c r="I249" s="66"/>
    </row>
    <row r="250" spans="1:9" ht="33" customHeight="1" x14ac:dyDescent="0.3">
      <c r="A250" s="11">
        <v>458200000</v>
      </c>
      <c r="B250" s="36"/>
      <c r="C250" s="40" t="s">
        <v>234</v>
      </c>
      <c r="D250" s="40"/>
      <c r="E250" s="23">
        <f>147870</f>
        <v>147870</v>
      </c>
      <c r="F250" s="64">
        <f t="shared" si="10"/>
        <v>147870</v>
      </c>
      <c r="G250" s="65"/>
      <c r="H250" s="65"/>
      <c r="I250" s="66"/>
    </row>
    <row r="251" spans="1:9" ht="33" customHeight="1" x14ac:dyDescent="0.3">
      <c r="A251" s="11">
        <v>458900000</v>
      </c>
      <c r="B251" s="36"/>
      <c r="C251" s="40" t="s">
        <v>26</v>
      </c>
      <c r="D251" s="40"/>
      <c r="E251" s="23">
        <f>59625</f>
        <v>59625</v>
      </c>
      <c r="F251" s="64">
        <f t="shared" si="10"/>
        <v>59625</v>
      </c>
      <c r="G251" s="65"/>
      <c r="H251" s="65"/>
      <c r="I251" s="66"/>
    </row>
    <row r="252" spans="1:9" ht="33" customHeight="1" x14ac:dyDescent="0.3">
      <c r="A252" s="11">
        <v>459100000</v>
      </c>
      <c r="B252" s="36"/>
      <c r="C252" s="40" t="s">
        <v>27</v>
      </c>
      <c r="D252" s="40"/>
      <c r="E252" s="23">
        <f>40545</f>
        <v>40545</v>
      </c>
      <c r="F252" s="64">
        <f t="shared" si="10"/>
        <v>40545</v>
      </c>
      <c r="G252" s="65"/>
      <c r="H252" s="65"/>
      <c r="I252" s="66"/>
    </row>
    <row r="253" spans="1:9" ht="33" customHeight="1" x14ac:dyDescent="0.3">
      <c r="A253" s="11">
        <v>458500000</v>
      </c>
      <c r="B253" s="36"/>
      <c r="C253" s="40" t="s">
        <v>238</v>
      </c>
      <c r="D253" s="40"/>
      <c r="E253" s="23">
        <f>19080</f>
        <v>19080</v>
      </c>
      <c r="F253" s="64">
        <f t="shared" si="10"/>
        <v>19080</v>
      </c>
      <c r="G253" s="65"/>
      <c r="H253" s="65"/>
      <c r="I253" s="66"/>
    </row>
    <row r="254" spans="1:9" ht="33" customHeight="1" x14ac:dyDescent="0.3">
      <c r="A254" s="11">
        <v>450100000</v>
      </c>
      <c r="B254" s="36"/>
      <c r="C254" s="40" t="s">
        <v>30</v>
      </c>
      <c r="D254" s="40"/>
      <c r="E254" s="23">
        <f>54855</f>
        <v>54855</v>
      </c>
      <c r="F254" s="64">
        <f t="shared" si="10"/>
        <v>54855</v>
      </c>
      <c r="G254" s="65"/>
      <c r="H254" s="65"/>
      <c r="I254" s="66"/>
    </row>
    <row r="255" spans="1:9" ht="33" customHeight="1" x14ac:dyDescent="0.3">
      <c r="A255" s="11">
        <v>450200000</v>
      </c>
      <c r="B255" s="36"/>
      <c r="C255" s="40" t="s">
        <v>31</v>
      </c>
      <c r="D255" s="40"/>
      <c r="E255" s="23">
        <f>7155</f>
        <v>7155</v>
      </c>
      <c r="F255" s="64">
        <f t="shared" si="10"/>
        <v>7155</v>
      </c>
      <c r="G255" s="65"/>
      <c r="H255" s="65"/>
      <c r="I255" s="66"/>
    </row>
    <row r="256" spans="1:9" ht="33" customHeight="1" x14ac:dyDescent="0.3">
      <c r="A256" s="11">
        <v>451800000</v>
      </c>
      <c r="B256" s="36"/>
      <c r="C256" s="40" t="s">
        <v>32</v>
      </c>
      <c r="D256" s="40"/>
      <c r="E256" s="23">
        <f>19080</f>
        <v>19080</v>
      </c>
      <c r="F256" s="64">
        <f t="shared" si="10"/>
        <v>19080</v>
      </c>
      <c r="G256" s="65"/>
      <c r="H256" s="65"/>
      <c r="I256" s="66"/>
    </row>
    <row r="257" spans="1:9" ht="33" customHeight="1" x14ac:dyDescent="0.3">
      <c r="A257" s="11">
        <v>457200000</v>
      </c>
      <c r="B257" s="36"/>
      <c r="C257" s="43" t="s">
        <v>233</v>
      </c>
      <c r="D257" s="44"/>
      <c r="E257" s="23">
        <f>11925</f>
        <v>11925</v>
      </c>
      <c r="F257" s="64">
        <f t="shared" si="10"/>
        <v>11925</v>
      </c>
      <c r="G257" s="65"/>
      <c r="H257" s="65"/>
      <c r="I257" s="66"/>
    </row>
    <row r="258" spans="1:9" ht="33" customHeight="1" x14ac:dyDescent="0.3">
      <c r="A258" s="11">
        <v>451900000</v>
      </c>
      <c r="B258" s="36"/>
      <c r="C258" s="40" t="s">
        <v>41</v>
      </c>
      <c r="D258" s="40"/>
      <c r="E258" s="23">
        <f>88245</f>
        <v>88245</v>
      </c>
      <c r="F258" s="64">
        <f t="shared" si="10"/>
        <v>88245</v>
      </c>
      <c r="G258" s="65"/>
      <c r="H258" s="65"/>
      <c r="I258" s="66"/>
    </row>
    <row r="259" spans="1:9" ht="33" customHeight="1" x14ac:dyDescent="0.3">
      <c r="A259" s="11">
        <v>452900000</v>
      </c>
      <c r="B259" s="36"/>
      <c r="C259" s="40" t="s">
        <v>49</v>
      </c>
      <c r="D259" s="40"/>
      <c r="E259" s="23">
        <f>4770</f>
        <v>4770</v>
      </c>
      <c r="F259" s="64">
        <f t="shared" si="10"/>
        <v>4770</v>
      </c>
      <c r="G259" s="65"/>
      <c r="H259" s="65"/>
      <c r="I259" s="66"/>
    </row>
    <row r="260" spans="1:9" ht="33" customHeight="1" x14ac:dyDescent="0.3">
      <c r="A260" s="11">
        <v>450300000</v>
      </c>
      <c r="B260" s="36"/>
      <c r="C260" s="40" t="s">
        <v>33</v>
      </c>
      <c r="D260" s="40"/>
      <c r="E260" s="23">
        <f>19080</f>
        <v>19080</v>
      </c>
      <c r="F260" s="64">
        <f t="shared" si="10"/>
        <v>19080</v>
      </c>
      <c r="G260" s="65"/>
      <c r="H260" s="65"/>
      <c r="I260" s="66"/>
    </row>
    <row r="261" spans="1:9" ht="33" customHeight="1" x14ac:dyDescent="0.3">
      <c r="A261" s="11">
        <v>457300000</v>
      </c>
      <c r="B261" s="36"/>
      <c r="C261" s="40" t="s">
        <v>269</v>
      </c>
      <c r="D261" s="40"/>
      <c r="E261" s="23">
        <f>2385</f>
        <v>2385</v>
      </c>
      <c r="F261" s="64">
        <f t="shared" si="10"/>
        <v>2385</v>
      </c>
      <c r="G261" s="65"/>
      <c r="H261" s="65"/>
      <c r="I261" s="66"/>
    </row>
    <row r="262" spans="1:9" ht="33" customHeight="1" x14ac:dyDescent="0.3">
      <c r="A262" s="11">
        <v>453600000</v>
      </c>
      <c r="B262" s="36"/>
      <c r="C262" s="40" t="s">
        <v>52</v>
      </c>
      <c r="D262" s="40"/>
      <c r="E262" s="23">
        <f>83475</f>
        <v>83475</v>
      </c>
      <c r="F262" s="64">
        <f t="shared" si="10"/>
        <v>83475</v>
      </c>
      <c r="G262" s="65"/>
      <c r="H262" s="65"/>
      <c r="I262" s="66"/>
    </row>
    <row r="263" spans="1:9" ht="33" customHeight="1" x14ac:dyDescent="0.3">
      <c r="A263" s="11">
        <v>452000000</v>
      </c>
      <c r="B263" s="36"/>
      <c r="C263" s="40" t="s">
        <v>42</v>
      </c>
      <c r="D263" s="40"/>
      <c r="E263" s="23">
        <f>9540</f>
        <v>9540</v>
      </c>
      <c r="F263" s="64">
        <f t="shared" si="10"/>
        <v>9540</v>
      </c>
      <c r="G263" s="65"/>
      <c r="H263" s="65"/>
      <c r="I263" s="66"/>
    </row>
    <row r="264" spans="1:9" ht="33" customHeight="1" x14ac:dyDescent="0.3">
      <c r="A264" s="11">
        <v>456300000</v>
      </c>
      <c r="B264" s="36"/>
      <c r="C264" s="40" t="s">
        <v>7</v>
      </c>
      <c r="D264" s="40"/>
      <c r="E264" s="23">
        <f>4770</f>
        <v>4770</v>
      </c>
      <c r="F264" s="64">
        <f t="shared" si="10"/>
        <v>4770</v>
      </c>
      <c r="G264" s="65"/>
      <c r="H264" s="65"/>
      <c r="I264" s="66"/>
    </row>
    <row r="265" spans="1:9" ht="33" customHeight="1" x14ac:dyDescent="0.3">
      <c r="A265" s="11">
        <v>453000000</v>
      </c>
      <c r="B265" s="36"/>
      <c r="C265" s="40" t="s">
        <v>50</v>
      </c>
      <c r="D265" s="40"/>
      <c r="E265" s="23">
        <f>7155</f>
        <v>7155</v>
      </c>
      <c r="F265" s="64">
        <f t="shared" si="10"/>
        <v>7155</v>
      </c>
      <c r="G265" s="65"/>
      <c r="H265" s="65"/>
      <c r="I265" s="66"/>
    </row>
    <row r="266" spans="1:9" ht="33" customHeight="1" x14ac:dyDescent="0.3">
      <c r="A266" s="11">
        <v>450700000</v>
      </c>
      <c r="B266" s="36"/>
      <c r="C266" s="40" t="s">
        <v>35</v>
      </c>
      <c r="D266" s="40"/>
      <c r="E266" s="23">
        <f>16695</f>
        <v>16695</v>
      </c>
      <c r="F266" s="64">
        <f t="shared" si="10"/>
        <v>16695</v>
      </c>
      <c r="G266" s="65"/>
      <c r="H266" s="65"/>
      <c r="I266" s="66"/>
    </row>
    <row r="267" spans="1:9" ht="33" customHeight="1" x14ac:dyDescent="0.3">
      <c r="A267" s="11">
        <v>457500000</v>
      </c>
      <c r="B267" s="36"/>
      <c r="C267" s="40" t="s">
        <v>15</v>
      </c>
      <c r="D267" s="40"/>
      <c r="E267" s="23">
        <f>19080</f>
        <v>19080</v>
      </c>
      <c r="F267" s="64">
        <f t="shared" si="10"/>
        <v>19080</v>
      </c>
      <c r="G267" s="65"/>
      <c r="H267" s="65"/>
      <c r="I267" s="66"/>
    </row>
    <row r="268" spans="1:9" ht="33" customHeight="1" x14ac:dyDescent="0.3">
      <c r="A268" s="11">
        <v>455600000</v>
      </c>
      <c r="B268" s="36"/>
      <c r="C268" s="40" t="s">
        <v>62</v>
      </c>
      <c r="D268" s="40"/>
      <c r="E268" s="23">
        <f>7155</f>
        <v>7155</v>
      </c>
      <c r="F268" s="64">
        <f t="shared" si="10"/>
        <v>7155</v>
      </c>
      <c r="G268" s="65"/>
      <c r="H268" s="65"/>
      <c r="I268" s="66"/>
    </row>
    <row r="269" spans="1:9" ht="33" customHeight="1" x14ac:dyDescent="0.3">
      <c r="A269" s="11">
        <v>453500000</v>
      </c>
      <c r="B269" s="36"/>
      <c r="C269" s="40" t="s">
        <v>6</v>
      </c>
      <c r="D269" s="40"/>
      <c r="E269" s="23">
        <f>21465-7155</f>
        <v>14310</v>
      </c>
      <c r="F269" s="64">
        <f t="shared" si="10"/>
        <v>14310</v>
      </c>
      <c r="G269" s="65"/>
      <c r="H269" s="65"/>
      <c r="I269" s="66"/>
    </row>
    <row r="270" spans="1:9" ht="33" customHeight="1" x14ac:dyDescent="0.3">
      <c r="A270" s="11">
        <v>456400000</v>
      </c>
      <c r="B270" s="36"/>
      <c r="C270" s="40" t="s">
        <v>8</v>
      </c>
      <c r="D270" s="40"/>
      <c r="E270" s="23">
        <f>2385</f>
        <v>2385</v>
      </c>
      <c r="F270" s="64">
        <f t="shared" si="10"/>
        <v>2385</v>
      </c>
      <c r="G270" s="65"/>
      <c r="H270" s="65"/>
      <c r="I270" s="66"/>
    </row>
    <row r="271" spans="1:9" s="6" customFormat="1" ht="33" customHeight="1" x14ac:dyDescent="0.3">
      <c r="A271" s="11" t="s">
        <v>139</v>
      </c>
      <c r="B271" s="36"/>
      <c r="C271" s="40" t="s">
        <v>140</v>
      </c>
      <c r="D271" s="40"/>
      <c r="E271" s="23">
        <f>2385</f>
        <v>2385</v>
      </c>
      <c r="F271" s="64">
        <f t="shared" si="10"/>
        <v>2385</v>
      </c>
      <c r="G271" s="65"/>
      <c r="H271" s="65"/>
      <c r="I271" s="66"/>
    </row>
    <row r="272" spans="1:9" ht="33" customHeight="1" x14ac:dyDescent="0.3">
      <c r="A272" s="11">
        <v>450600000</v>
      </c>
      <c r="B272" s="36"/>
      <c r="C272" s="40" t="s">
        <v>34</v>
      </c>
      <c r="D272" s="40"/>
      <c r="E272" s="23">
        <f>16695</f>
        <v>16695</v>
      </c>
      <c r="F272" s="64">
        <f t="shared" si="10"/>
        <v>16695</v>
      </c>
      <c r="G272" s="65"/>
      <c r="H272" s="65"/>
      <c r="I272" s="66"/>
    </row>
    <row r="273" spans="1:9" ht="33" customHeight="1" x14ac:dyDescent="0.3">
      <c r="A273" s="11">
        <v>455000000</v>
      </c>
      <c r="B273" s="36"/>
      <c r="C273" s="40" t="s">
        <v>58</v>
      </c>
      <c r="D273" s="40"/>
      <c r="E273" s="23">
        <f>2385</f>
        <v>2385</v>
      </c>
      <c r="F273" s="64">
        <f t="shared" si="10"/>
        <v>2385</v>
      </c>
      <c r="G273" s="65"/>
      <c r="H273" s="65"/>
      <c r="I273" s="66"/>
    </row>
    <row r="274" spans="1:9" ht="33" customHeight="1" x14ac:dyDescent="0.3">
      <c r="A274" s="11">
        <v>452100000</v>
      </c>
      <c r="B274" s="36"/>
      <c r="C274" s="40" t="s">
        <v>43</v>
      </c>
      <c r="D274" s="40"/>
      <c r="E274" s="23">
        <f>23850</f>
        <v>23850</v>
      </c>
      <c r="F274" s="64">
        <f t="shared" si="10"/>
        <v>23850</v>
      </c>
      <c r="G274" s="65"/>
      <c r="H274" s="65"/>
      <c r="I274" s="66"/>
    </row>
    <row r="275" spans="1:9" ht="33" customHeight="1" x14ac:dyDescent="0.3">
      <c r="A275" s="11">
        <v>455700000</v>
      </c>
      <c r="B275" s="36"/>
      <c r="C275" s="40" t="s">
        <v>63</v>
      </c>
      <c r="D275" s="40"/>
      <c r="E275" s="23">
        <f>7155</f>
        <v>7155</v>
      </c>
      <c r="F275" s="64">
        <f t="shared" si="10"/>
        <v>7155</v>
      </c>
      <c r="G275" s="65"/>
      <c r="H275" s="65"/>
      <c r="I275" s="66"/>
    </row>
    <row r="276" spans="1:9" ht="33" customHeight="1" x14ac:dyDescent="0.3">
      <c r="A276" s="11">
        <v>457900000</v>
      </c>
      <c r="B276" s="36"/>
      <c r="C276" s="40" t="s">
        <v>19</v>
      </c>
      <c r="D276" s="40"/>
      <c r="E276" s="23">
        <f>14310</f>
        <v>14310</v>
      </c>
      <c r="F276" s="64">
        <f t="shared" si="10"/>
        <v>14310</v>
      </c>
      <c r="G276" s="65"/>
      <c r="H276" s="65"/>
      <c r="I276" s="66"/>
    </row>
    <row r="277" spans="1:9" ht="33" customHeight="1" x14ac:dyDescent="0.3">
      <c r="A277" s="11">
        <v>455300000</v>
      </c>
      <c r="B277" s="36"/>
      <c r="C277" s="40" t="s">
        <v>60</v>
      </c>
      <c r="D277" s="40"/>
      <c r="E277" s="23">
        <f>2385</f>
        <v>2385</v>
      </c>
      <c r="F277" s="64">
        <f t="shared" si="10"/>
        <v>2385</v>
      </c>
      <c r="G277" s="65"/>
      <c r="H277" s="65"/>
      <c r="I277" s="66"/>
    </row>
    <row r="278" spans="1:9" ht="33" customHeight="1" x14ac:dyDescent="0.3">
      <c r="A278" s="11">
        <v>456500000</v>
      </c>
      <c r="B278" s="36"/>
      <c r="C278" s="40" t="s">
        <v>9</v>
      </c>
      <c r="D278" s="40"/>
      <c r="E278" s="23">
        <f>23850</f>
        <v>23850</v>
      </c>
      <c r="F278" s="64">
        <f t="shared" si="10"/>
        <v>23850</v>
      </c>
      <c r="G278" s="65"/>
      <c r="H278" s="65"/>
      <c r="I278" s="66"/>
    </row>
    <row r="279" spans="1:9" ht="33" customHeight="1" x14ac:dyDescent="0.3">
      <c r="A279" s="11">
        <v>453100000</v>
      </c>
      <c r="B279" s="36"/>
      <c r="C279" s="40" t="s">
        <v>51</v>
      </c>
      <c r="D279" s="40"/>
      <c r="E279" s="23">
        <f>2385</f>
        <v>2385</v>
      </c>
      <c r="F279" s="64">
        <f t="shared" si="10"/>
        <v>2385</v>
      </c>
      <c r="G279" s="65"/>
      <c r="H279" s="65"/>
      <c r="I279" s="66"/>
    </row>
    <row r="280" spans="1:9" ht="33" customHeight="1" x14ac:dyDescent="0.3">
      <c r="A280" s="11">
        <v>454100000</v>
      </c>
      <c r="B280" s="36"/>
      <c r="C280" s="40" t="s">
        <v>66</v>
      </c>
      <c r="D280" s="40"/>
      <c r="E280" s="23">
        <f>7155</f>
        <v>7155</v>
      </c>
      <c r="F280" s="64">
        <f t="shared" si="10"/>
        <v>7155</v>
      </c>
      <c r="G280" s="65"/>
      <c r="H280" s="65"/>
      <c r="I280" s="66"/>
    </row>
    <row r="281" spans="1:9" ht="33" customHeight="1" x14ac:dyDescent="0.3">
      <c r="A281" s="11">
        <v>453700000</v>
      </c>
      <c r="B281" s="36"/>
      <c r="C281" s="40" t="s">
        <v>53</v>
      </c>
      <c r="D281" s="40"/>
      <c r="E281" s="23">
        <f>4770</f>
        <v>4770</v>
      </c>
      <c r="F281" s="64">
        <f t="shared" si="10"/>
        <v>4770</v>
      </c>
      <c r="G281" s="65"/>
      <c r="H281" s="65"/>
      <c r="I281" s="66"/>
    </row>
    <row r="282" spans="1:9" ht="33" customHeight="1" x14ac:dyDescent="0.3">
      <c r="A282" s="11">
        <v>458000000</v>
      </c>
      <c r="B282" s="36"/>
      <c r="C282" s="40" t="s">
        <v>80</v>
      </c>
      <c r="D282" s="40"/>
      <c r="E282" s="23">
        <f>4770</f>
        <v>4770</v>
      </c>
      <c r="F282" s="64">
        <f t="shared" si="10"/>
        <v>4770</v>
      </c>
      <c r="G282" s="65"/>
      <c r="H282" s="65"/>
      <c r="I282" s="66"/>
    </row>
    <row r="283" spans="1:9" ht="33" customHeight="1" x14ac:dyDescent="0.3">
      <c r="A283" s="11">
        <v>454400000</v>
      </c>
      <c r="B283" s="36"/>
      <c r="C283" s="40" t="s">
        <v>79</v>
      </c>
      <c r="D283" s="40"/>
      <c r="E283" s="23">
        <f>4770-4770</f>
        <v>0</v>
      </c>
      <c r="F283" s="64">
        <f t="shared" si="10"/>
        <v>0</v>
      </c>
      <c r="G283" s="65"/>
      <c r="H283" s="65"/>
      <c r="I283" s="66"/>
    </row>
    <row r="284" spans="1:9" ht="33" customHeight="1" x14ac:dyDescent="0.3">
      <c r="A284" s="11">
        <v>451600000</v>
      </c>
      <c r="B284" s="36"/>
      <c r="C284" s="40" t="s">
        <v>40</v>
      </c>
      <c r="D284" s="40"/>
      <c r="E284" s="23">
        <f>11925</f>
        <v>11925</v>
      </c>
      <c r="F284" s="64">
        <f t="shared" si="10"/>
        <v>11925</v>
      </c>
      <c r="G284" s="65"/>
      <c r="H284" s="65"/>
      <c r="I284" s="66"/>
    </row>
    <row r="285" spans="1:9" ht="33" customHeight="1" x14ac:dyDescent="0.3">
      <c r="A285" s="11">
        <v>450900000</v>
      </c>
      <c r="B285" s="36"/>
      <c r="C285" s="40" t="s">
        <v>36</v>
      </c>
      <c r="D285" s="40"/>
      <c r="E285" s="23">
        <f>11925</f>
        <v>11925</v>
      </c>
      <c r="F285" s="64">
        <f t="shared" si="10"/>
        <v>11925</v>
      </c>
      <c r="G285" s="65"/>
      <c r="H285" s="65"/>
      <c r="I285" s="66"/>
    </row>
    <row r="286" spans="1:9" ht="33" customHeight="1" x14ac:dyDescent="0.3">
      <c r="A286" s="11">
        <v>453900000</v>
      </c>
      <c r="B286" s="36"/>
      <c r="C286" s="40" t="s">
        <v>236</v>
      </c>
      <c r="D286" s="40"/>
      <c r="E286" s="23">
        <f>2385</f>
        <v>2385</v>
      </c>
      <c r="F286" s="64">
        <f t="shared" si="10"/>
        <v>2385</v>
      </c>
      <c r="G286" s="65"/>
      <c r="H286" s="65"/>
      <c r="I286" s="66"/>
    </row>
    <row r="287" spans="1:9" ht="33" customHeight="1" x14ac:dyDescent="0.3">
      <c r="A287" s="11">
        <v>451100000</v>
      </c>
      <c r="B287" s="36"/>
      <c r="C287" s="40" t="s">
        <v>67</v>
      </c>
      <c r="D287" s="40"/>
      <c r="E287" s="23">
        <f>23850</f>
        <v>23850</v>
      </c>
      <c r="F287" s="64">
        <f t="shared" si="10"/>
        <v>23850</v>
      </c>
      <c r="G287" s="65"/>
      <c r="H287" s="65"/>
      <c r="I287" s="66"/>
    </row>
    <row r="288" spans="1:9" ht="33" customHeight="1" x14ac:dyDescent="0.3">
      <c r="A288" s="11">
        <v>458300000</v>
      </c>
      <c r="B288" s="36"/>
      <c r="C288" s="40" t="s">
        <v>21</v>
      </c>
      <c r="D288" s="40"/>
      <c r="E288" s="23">
        <f>14310-2385</f>
        <v>11925</v>
      </c>
      <c r="F288" s="64">
        <f t="shared" si="10"/>
        <v>11925</v>
      </c>
      <c r="G288" s="65"/>
      <c r="H288" s="65"/>
      <c r="I288" s="66"/>
    </row>
    <row r="289" spans="1:9" ht="33" customHeight="1" x14ac:dyDescent="0.3">
      <c r="A289" s="11">
        <v>451200000</v>
      </c>
      <c r="B289" s="36"/>
      <c r="C289" s="40" t="s">
        <v>37</v>
      </c>
      <c r="D289" s="40"/>
      <c r="E289" s="23">
        <f>9540</f>
        <v>9540</v>
      </c>
      <c r="F289" s="64">
        <f t="shared" si="10"/>
        <v>9540</v>
      </c>
      <c r="G289" s="65"/>
      <c r="H289" s="65"/>
      <c r="I289" s="66"/>
    </row>
    <row r="290" spans="1:9" ht="33" customHeight="1" x14ac:dyDescent="0.3">
      <c r="A290" s="11">
        <v>456600000</v>
      </c>
      <c r="B290" s="36"/>
      <c r="C290" s="40" t="s">
        <v>10</v>
      </c>
      <c r="D290" s="40"/>
      <c r="E290" s="23">
        <f>28620</f>
        <v>28620</v>
      </c>
      <c r="F290" s="64">
        <f t="shared" si="10"/>
        <v>28620</v>
      </c>
      <c r="G290" s="65"/>
      <c r="H290" s="65"/>
      <c r="I290" s="66"/>
    </row>
    <row r="291" spans="1:9" ht="33" customHeight="1" x14ac:dyDescent="0.3">
      <c r="A291" s="11">
        <v>455800000</v>
      </c>
      <c r="B291" s="36"/>
      <c r="C291" s="40" t="s">
        <v>64</v>
      </c>
      <c r="D291" s="40"/>
      <c r="E291" s="23">
        <f>21465</f>
        <v>21465</v>
      </c>
      <c r="F291" s="64">
        <f t="shared" si="10"/>
        <v>21465</v>
      </c>
      <c r="G291" s="65"/>
      <c r="H291" s="65"/>
      <c r="I291" s="66"/>
    </row>
    <row r="292" spans="1:9" ht="33" customHeight="1" x14ac:dyDescent="0.3">
      <c r="A292" s="11">
        <v>454300000</v>
      </c>
      <c r="B292" s="36"/>
      <c r="C292" s="40" t="s">
        <v>56</v>
      </c>
      <c r="D292" s="40"/>
      <c r="E292" s="23">
        <f>28620</f>
        <v>28620</v>
      </c>
      <c r="F292" s="64">
        <f t="shared" si="10"/>
        <v>28620</v>
      </c>
      <c r="G292" s="65"/>
      <c r="H292" s="65"/>
      <c r="I292" s="66"/>
    </row>
    <row r="293" spans="1:9" ht="33" customHeight="1" x14ac:dyDescent="0.3">
      <c r="A293" s="11">
        <v>458600000</v>
      </c>
      <c r="B293" s="36"/>
      <c r="C293" s="40" t="s">
        <v>23</v>
      </c>
      <c r="D293" s="40"/>
      <c r="E293" s="23">
        <f>26235</f>
        <v>26235</v>
      </c>
      <c r="F293" s="64">
        <f t="shared" si="10"/>
        <v>26235</v>
      </c>
      <c r="G293" s="65"/>
      <c r="H293" s="65"/>
      <c r="I293" s="66"/>
    </row>
    <row r="294" spans="1:9" ht="33" customHeight="1" x14ac:dyDescent="0.3">
      <c r="A294" s="11">
        <v>456800000</v>
      </c>
      <c r="B294" s="36"/>
      <c r="C294" s="40" t="s">
        <v>12</v>
      </c>
      <c r="D294" s="40"/>
      <c r="E294" s="23">
        <f>38160</f>
        <v>38160</v>
      </c>
      <c r="F294" s="64">
        <f t="shared" si="10"/>
        <v>38160</v>
      </c>
      <c r="G294" s="65"/>
      <c r="H294" s="65"/>
      <c r="I294" s="66"/>
    </row>
    <row r="295" spans="1:9" ht="33" customHeight="1" x14ac:dyDescent="0.3">
      <c r="A295" s="11">
        <v>455900000</v>
      </c>
      <c r="B295" s="36"/>
      <c r="C295" s="40" t="s">
        <v>65</v>
      </c>
      <c r="D295" s="40"/>
      <c r="E295" s="23">
        <f>31005</f>
        <v>31005</v>
      </c>
      <c r="F295" s="64">
        <f t="shared" si="10"/>
        <v>31005</v>
      </c>
      <c r="G295" s="65"/>
      <c r="H295" s="65"/>
      <c r="I295" s="66"/>
    </row>
    <row r="296" spans="1:9" ht="33" customHeight="1" x14ac:dyDescent="0.3">
      <c r="A296" s="11">
        <v>452300000</v>
      </c>
      <c r="B296" s="36"/>
      <c r="C296" s="40" t="s">
        <v>44</v>
      </c>
      <c r="D296" s="40"/>
      <c r="E296" s="23">
        <f>26235-16695</f>
        <v>9540</v>
      </c>
      <c r="F296" s="64">
        <f t="shared" si="10"/>
        <v>9540</v>
      </c>
      <c r="G296" s="65"/>
      <c r="H296" s="65"/>
      <c r="I296" s="66"/>
    </row>
    <row r="297" spans="1:9" ht="33" customHeight="1" x14ac:dyDescent="0.3">
      <c r="A297" s="11">
        <v>458700000</v>
      </c>
      <c r="B297" s="36"/>
      <c r="C297" s="40" t="s">
        <v>24</v>
      </c>
      <c r="D297" s="40"/>
      <c r="E297" s="23">
        <f>21465</f>
        <v>21465</v>
      </c>
      <c r="F297" s="64">
        <f t="shared" si="10"/>
        <v>21465</v>
      </c>
      <c r="G297" s="65"/>
      <c r="H297" s="65"/>
      <c r="I297" s="66"/>
    </row>
    <row r="298" spans="1:9" ht="33" customHeight="1" x14ac:dyDescent="0.3">
      <c r="A298" s="11">
        <v>458800000</v>
      </c>
      <c r="B298" s="36"/>
      <c r="C298" s="40" t="s">
        <v>25</v>
      </c>
      <c r="D298" s="40"/>
      <c r="E298" s="23">
        <f>59625</f>
        <v>59625</v>
      </c>
      <c r="F298" s="64">
        <f t="shared" si="10"/>
        <v>59625</v>
      </c>
      <c r="G298" s="65"/>
      <c r="H298" s="65"/>
      <c r="I298" s="66"/>
    </row>
    <row r="299" spans="1:9" ht="33" customHeight="1" x14ac:dyDescent="0.3">
      <c r="A299" s="11">
        <v>454600000</v>
      </c>
      <c r="B299" s="36"/>
      <c r="C299" s="40" t="s">
        <v>57</v>
      </c>
      <c r="D299" s="40"/>
      <c r="E299" s="23">
        <f>14310</f>
        <v>14310</v>
      </c>
      <c r="F299" s="64">
        <f t="shared" si="10"/>
        <v>14310</v>
      </c>
      <c r="G299" s="65"/>
      <c r="H299" s="65"/>
      <c r="I299" s="66"/>
    </row>
    <row r="300" spans="1:9" ht="33" customHeight="1" x14ac:dyDescent="0.3">
      <c r="A300" s="11">
        <v>452400000</v>
      </c>
      <c r="B300" s="36"/>
      <c r="C300" s="40" t="s">
        <v>45</v>
      </c>
      <c r="D300" s="40"/>
      <c r="E300" s="23">
        <f>2385</f>
        <v>2385</v>
      </c>
      <c r="F300" s="64">
        <f t="shared" si="10"/>
        <v>2385</v>
      </c>
      <c r="G300" s="65"/>
      <c r="H300" s="65"/>
      <c r="I300" s="66"/>
    </row>
    <row r="301" spans="1:9" ht="33" customHeight="1" x14ac:dyDescent="0.3">
      <c r="A301" s="11">
        <v>455500000</v>
      </c>
      <c r="B301" s="36"/>
      <c r="C301" s="40" t="s">
        <v>61</v>
      </c>
      <c r="D301" s="40"/>
      <c r="E301" s="23">
        <f>7155</f>
        <v>7155</v>
      </c>
      <c r="F301" s="64">
        <f t="shared" si="10"/>
        <v>7155</v>
      </c>
      <c r="G301" s="65"/>
      <c r="H301" s="65"/>
      <c r="I301" s="66"/>
    </row>
    <row r="302" spans="1:9" ht="33" customHeight="1" x14ac:dyDescent="0.3">
      <c r="A302" s="11">
        <v>451500000</v>
      </c>
      <c r="B302" s="36"/>
      <c r="C302" s="40" t="s">
        <v>39</v>
      </c>
      <c r="D302" s="40"/>
      <c r="E302" s="23">
        <f>52470</f>
        <v>52470</v>
      </c>
      <c r="F302" s="64">
        <f t="shared" si="10"/>
        <v>52470</v>
      </c>
      <c r="G302" s="65"/>
      <c r="H302" s="65"/>
      <c r="I302" s="66"/>
    </row>
    <row r="303" spans="1:9" s="2" customFormat="1" ht="33" customHeight="1" x14ac:dyDescent="0.3">
      <c r="A303" s="11">
        <v>459000000</v>
      </c>
      <c r="B303" s="36"/>
      <c r="C303" s="40" t="s">
        <v>99</v>
      </c>
      <c r="D303" s="40"/>
      <c r="E303" s="23">
        <f>7155</f>
        <v>7155</v>
      </c>
      <c r="F303" s="64">
        <f t="shared" si="10"/>
        <v>7155</v>
      </c>
      <c r="G303" s="65"/>
      <c r="H303" s="65"/>
      <c r="I303" s="66"/>
    </row>
    <row r="304" spans="1:9" s="2" customFormat="1" ht="33" customHeight="1" x14ac:dyDescent="0.3">
      <c r="A304" s="11">
        <v>451300000</v>
      </c>
      <c r="B304" s="36"/>
      <c r="C304" s="40" t="s">
        <v>38</v>
      </c>
      <c r="D304" s="40"/>
      <c r="E304" s="23">
        <f>59625</f>
        <v>59625</v>
      </c>
      <c r="F304" s="64">
        <f t="shared" si="10"/>
        <v>59625</v>
      </c>
      <c r="G304" s="65"/>
      <c r="H304" s="65"/>
      <c r="I304" s="66"/>
    </row>
    <row r="305" spans="1:9" s="2" customFormat="1" ht="33" customHeight="1" x14ac:dyDescent="0.3">
      <c r="A305" s="11">
        <v>452500000</v>
      </c>
      <c r="B305" s="36"/>
      <c r="C305" s="40" t="s">
        <v>46</v>
      </c>
      <c r="D305" s="40"/>
      <c r="E305" s="23">
        <f>90630-45315</f>
        <v>45315</v>
      </c>
      <c r="F305" s="64">
        <f t="shared" si="10"/>
        <v>45315</v>
      </c>
      <c r="G305" s="65"/>
      <c r="H305" s="65"/>
      <c r="I305" s="66"/>
    </row>
    <row r="306" spans="1:9" s="2" customFormat="1" ht="33" customHeight="1" x14ac:dyDescent="0.3">
      <c r="A306" s="11">
        <v>452600000</v>
      </c>
      <c r="B306" s="36"/>
      <c r="C306" s="40" t="s">
        <v>47</v>
      </c>
      <c r="D306" s="40"/>
      <c r="E306" s="23">
        <f>33390</f>
        <v>33390</v>
      </c>
      <c r="F306" s="64">
        <f t="shared" ref="F306:F315" si="11">E306</f>
        <v>33390</v>
      </c>
      <c r="G306" s="65"/>
      <c r="H306" s="65"/>
      <c r="I306" s="66"/>
    </row>
    <row r="307" spans="1:9" s="2" customFormat="1" ht="33" customHeight="1" x14ac:dyDescent="0.3">
      <c r="A307" s="11">
        <v>454200000</v>
      </c>
      <c r="B307" s="36"/>
      <c r="C307" s="40" t="s">
        <v>55</v>
      </c>
      <c r="D307" s="40"/>
      <c r="E307" s="23">
        <f>2385</f>
        <v>2385</v>
      </c>
      <c r="F307" s="64">
        <f t="shared" si="11"/>
        <v>2385</v>
      </c>
      <c r="G307" s="65"/>
      <c r="H307" s="65"/>
      <c r="I307" s="66"/>
    </row>
    <row r="308" spans="1:9" s="2" customFormat="1" ht="33" customHeight="1" x14ac:dyDescent="0.3">
      <c r="A308" s="11">
        <v>455400000</v>
      </c>
      <c r="B308" s="36"/>
      <c r="C308" s="40" t="s">
        <v>232</v>
      </c>
      <c r="D308" s="40"/>
      <c r="E308" s="23">
        <f>2385</f>
        <v>2385</v>
      </c>
      <c r="F308" s="64">
        <f t="shared" si="11"/>
        <v>2385</v>
      </c>
      <c r="G308" s="65"/>
      <c r="H308" s="65"/>
      <c r="I308" s="66"/>
    </row>
    <row r="309" spans="1:9" s="2" customFormat="1" ht="33" customHeight="1" x14ac:dyDescent="0.3">
      <c r="A309" s="11">
        <v>452700000</v>
      </c>
      <c r="B309" s="36"/>
      <c r="C309" s="40" t="s">
        <v>48</v>
      </c>
      <c r="D309" s="40"/>
      <c r="E309" s="23">
        <f>35775</f>
        <v>35775</v>
      </c>
      <c r="F309" s="64">
        <f t="shared" si="11"/>
        <v>35775</v>
      </c>
      <c r="G309" s="65"/>
      <c r="H309" s="65"/>
      <c r="I309" s="66"/>
    </row>
    <row r="310" spans="1:9" s="2" customFormat="1" ht="33" customHeight="1" x14ac:dyDescent="0.3">
      <c r="A310" s="11">
        <v>454000000</v>
      </c>
      <c r="B310" s="36"/>
      <c r="C310" s="40" t="s">
        <v>54</v>
      </c>
      <c r="D310" s="40"/>
      <c r="E310" s="23">
        <f>19080</f>
        <v>19080</v>
      </c>
      <c r="F310" s="64">
        <f t="shared" si="11"/>
        <v>19080</v>
      </c>
      <c r="G310" s="65"/>
      <c r="H310" s="65"/>
      <c r="I310" s="66"/>
    </row>
    <row r="311" spans="1:9" s="2" customFormat="1" ht="33" customHeight="1" x14ac:dyDescent="0.3">
      <c r="A311" s="11">
        <v>457000000</v>
      </c>
      <c r="B311" s="36"/>
      <c r="C311" s="40" t="s">
        <v>13</v>
      </c>
      <c r="D311" s="40"/>
      <c r="E311" s="23">
        <f>26235</f>
        <v>26235</v>
      </c>
      <c r="F311" s="64">
        <f t="shared" si="11"/>
        <v>26235</v>
      </c>
      <c r="G311" s="65"/>
      <c r="H311" s="65"/>
      <c r="I311" s="66"/>
    </row>
    <row r="312" spans="1:9" s="2" customFormat="1" ht="33" customHeight="1" x14ac:dyDescent="0.3">
      <c r="A312" s="11">
        <v>456700000</v>
      </c>
      <c r="B312" s="36"/>
      <c r="C312" s="40" t="s">
        <v>11</v>
      </c>
      <c r="D312" s="40"/>
      <c r="E312" s="23">
        <f>4770</f>
        <v>4770</v>
      </c>
      <c r="F312" s="64">
        <f t="shared" si="11"/>
        <v>4770</v>
      </c>
      <c r="G312" s="65"/>
      <c r="H312" s="65"/>
      <c r="I312" s="66"/>
    </row>
    <row r="313" spans="1:9" s="2" customFormat="1" ht="33" customHeight="1" x14ac:dyDescent="0.3">
      <c r="A313" s="11">
        <v>455100000</v>
      </c>
      <c r="B313" s="36"/>
      <c r="C313" s="40" t="s">
        <v>59</v>
      </c>
      <c r="D313" s="40"/>
      <c r="E313" s="23">
        <f>11925</f>
        <v>11925</v>
      </c>
      <c r="F313" s="64">
        <f t="shared" si="11"/>
        <v>11925</v>
      </c>
      <c r="G313" s="65"/>
      <c r="H313" s="65"/>
      <c r="I313" s="66"/>
    </row>
    <row r="314" spans="1:9" s="2" customFormat="1" ht="33" customHeight="1" x14ac:dyDescent="0.3">
      <c r="A314" s="11">
        <v>455200000</v>
      </c>
      <c r="B314" s="36"/>
      <c r="C314" s="40" t="s">
        <v>237</v>
      </c>
      <c r="D314" s="40"/>
      <c r="E314" s="23">
        <f>4770</f>
        <v>4770</v>
      </c>
      <c r="F314" s="64">
        <f t="shared" si="11"/>
        <v>4770</v>
      </c>
      <c r="G314" s="65"/>
      <c r="H314" s="65"/>
      <c r="I314" s="66"/>
    </row>
    <row r="315" spans="1:9" ht="33" customHeight="1" x14ac:dyDescent="0.3">
      <c r="A315" s="11">
        <v>454700000</v>
      </c>
      <c r="B315" s="36"/>
      <c r="C315" s="40" t="s">
        <v>231</v>
      </c>
      <c r="D315" s="40"/>
      <c r="E315" s="23">
        <f>14310</f>
        <v>14310</v>
      </c>
      <c r="F315" s="64">
        <f t="shared" si="11"/>
        <v>14310</v>
      </c>
      <c r="G315" s="65"/>
      <c r="H315" s="65"/>
      <c r="I315" s="66"/>
    </row>
    <row r="316" spans="1:9" s="4" customFormat="1" ht="39.75" customHeight="1" x14ac:dyDescent="0.3">
      <c r="A316" s="85"/>
      <c r="B316" s="85"/>
      <c r="C316" s="59" t="s">
        <v>126</v>
      </c>
      <c r="D316" s="59"/>
      <c r="E316" s="20"/>
      <c r="F316" s="64"/>
      <c r="G316" s="65"/>
      <c r="H316" s="65"/>
      <c r="I316" s="66"/>
    </row>
    <row r="317" spans="1:9" ht="58.5" customHeight="1" x14ac:dyDescent="0.3">
      <c r="A317" s="33" t="s">
        <v>74</v>
      </c>
      <c r="B317" s="16">
        <v>9770</v>
      </c>
      <c r="C317" s="46" t="s">
        <v>207</v>
      </c>
      <c r="D317" s="47"/>
      <c r="E317" s="24">
        <f>E318</f>
        <v>735000</v>
      </c>
      <c r="F317" s="61" t="s">
        <v>86</v>
      </c>
      <c r="G317" s="62"/>
      <c r="H317" s="62"/>
      <c r="I317" s="63"/>
    </row>
    <row r="318" spans="1:9" ht="32.25" customHeight="1" x14ac:dyDescent="0.3">
      <c r="A318" s="11">
        <v>710000000</v>
      </c>
      <c r="B318" s="32"/>
      <c r="C318" s="40" t="s">
        <v>208</v>
      </c>
      <c r="D318" s="40"/>
      <c r="E318" s="22">
        <f>735000</f>
        <v>735000</v>
      </c>
      <c r="F318" s="64">
        <f>E318</f>
        <v>735000</v>
      </c>
      <c r="G318" s="65"/>
      <c r="H318" s="65"/>
      <c r="I318" s="66"/>
    </row>
    <row r="319" spans="1:9" s="4" customFormat="1" ht="39.75" customHeight="1" x14ac:dyDescent="0.3">
      <c r="A319" s="85"/>
      <c r="B319" s="85"/>
      <c r="C319" s="59" t="s">
        <v>126</v>
      </c>
      <c r="D319" s="59"/>
      <c r="E319" s="20"/>
      <c r="F319" s="86"/>
      <c r="G319" s="86"/>
      <c r="H319" s="86"/>
      <c r="I319" s="86"/>
    </row>
    <row r="320" spans="1:9" ht="58.5" customHeight="1" x14ac:dyDescent="0.3">
      <c r="A320" s="33" t="s">
        <v>74</v>
      </c>
      <c r="B320" s="16">
        <v>9770</v>
      </c>
      <c r="C320" s="46" t="s">
        <v>209</v>
      </c>
      <c r="D320" s="47"/>
      <c r="E320" s="24">
        <f>SUM(E321:E324)</f>
        <v>18262000</v>
      </c>
      <c r="F320" s="61" t="s">
        <v>86</v>
      </c>
      <c r="G320" s="62"/>
      <c r="H320" s="62"/>
      <c r="I320" s="63"/>
    </row>
    <row r="321" spans="1:9" ht="32.25" customHeight="1" x14ac:dyDescent="0.3">
      <c r="A321" s="19" t="s">
        <v>210</v>
      </c>
      <c r="B321" s="32"/>
      <c r="C321" s="40" t="s">
        <v>211</v>
      </c>
      <c r="D321" s="40"/>
      <c r="E321" s="22">
        <f>1800400</f>
        <v>1800400</v>
      </c>
      <c r="F321" s="64">
        <f>E321</f>
        <v>1800400</v>
      </c>
      <c r="G321" s="65"/>
      <c r="H321" s="65"/>
      <c r="I321" s="66"/>
    </row>
    <row r="322" spans="1:9" ht="32.25" customHeight="1" x14ac:dyDescent="0.3">
      <c r="A322" s="19" t="s">
        <v>212</v>
      </c>
      <c r="B322" s="32"/>
      <c r="C322" s="40" t="s">
        <v>213</v>
      </c>
      <c r="D322" s="40"/>
      <c r="E322" s="22">
        <f>3454500</f>
        <v>3454500</v>
      </c>
      <c r="F322" s="64">
        <f t="shared" ref="F322:F324" si="12">E322</f>
        <v>3454500</v>
      </c>
      <c r="G322" s="65"/>
      <c r="H322" s="65"/>
      <c r="I322" s="66"/>
    </row>
    <row r="323" spans="1:9" ht="32.25" customHeight="1" x14ac:dyDescent="0.3">
      <c r="A323" s="19" t="s">
        <v>214</v>
      </c>
      <c r="B323" s="32"/>
      <c r="C323" s="40" t="s">
        <v>215</v>
      </c>
      <c r="D323" s="40"/>
      <c r="E323" s="22">
        <f>9846260</f>
        <v>9846260</v>
      </c>
      <c r="F323" s="64">
        <f t="shared" si="12"/>
        <v>9846260</v>
      </c>
      <c r="G323" s="65"/>
      <c r="H323" s="65"/>
      <c r="I323" s="66"/>
    </row>
    <row r="324" spans="1:9" ht="32.25" customHeight="1" x14ac:dyDescent="0.3">
      <c r="A324" s="19" t="s">
        <v>216</v>
      </c>
      <c r="B324" s="32"/>
      <c r="C324" s="40" t="s">
        <v>217</v>
      </c>
      <c r="D324" s="40"/>
      <c r="E324" s="22">
        <f>3160840</f>
        <v>3160840</v>
      </c>
      <c r="F324" s="64">
        <f t="shared" si="12"/>
        <v>3160840</v>
      </c>
      <c r="G324" s="65"/>
      <c r="H324" s="65"/>
      <c r="I324" s="66"/>
    </row>
    <row r="325" spans="1:9" s="4" customFormat="1" ht="44.25" customHeight="1" x14ac:dyDescent="0.3">
      <c r="A325" s="58"/>
      <c r="B325" s="58"/>
      <c r="C325" s="59" t="s">
        <v>127</v>
      </c>
      <c r="D325" s="59"/>
      <c r="E325" s="20"/>
      <c r="F325" s="127"/>
      <c r="G325" s="128"/>
      <c r="H325" s="128"/>
      <c r="I325" s="129"/>
    </row>
    <row r="326" spans="1:9" s="6" customFormat="1" ht="48" customHeight="1" x14ac:dyDescent="0.3">
      <c r="A326" s="15" t="s">
        <v>103</v>
      </c>
      <c r="B326" s="16">
        <v>9770</v>
      </c>
      <c r="C326" s="45" t="s">
        <v>204</v>
      </c>
      <c r="D326" s="45"/>
      <c r="E326" s="21">
        <f>E328+E327</f>
        <v>500000000</v>
      </c>
      <c r="F326" s="69" t="s">
        <v>206</v>
      </c>
      <c r="G326" s="69"/>
      <c r="H326" s="69" t="s">
        <v>104</v>
      </c>
      <c r="I326" s="69"/>
    </row>
    <row r="327" spans="1:9" s="6" customFormat="1" ht="31.5" customHeight="1" x14ac:dyDescent="0.3">
      <c r="A327" s="11">
        <v>457600000</v>
      </c>
      <c r="B327" s="36"/>
      <c r="C327" s="40" t="s">
        <v>16</v>
      </c>
      <c r="D327" s="40"/>
      <c r="E327" s="23">
        <f>F327</f>
        <v>200000000</v>
      </c>
      <c r="F327" s="57">
        <f>200000000</f>
        <v>200000000</v>
      </c>
      <c r="G327" s="57"/>
      <c r="H327" s="57"/>
      <c r="I327" s="57"/>
    </row>
    <row r="328" spans="1:9" s="6" customFormat="1" ht="32.25" customHeight="1" x14ac:dyDescent="0.3">
      <c r="A328" s="11">
        <v>457810000</v>
      </c>
      <c r="B328" s="36"/>
      <c r="C328" s="40" t="s">
        <v>18</v>
      </c>
      <c r="D328" s="40"/>
      <c r="E328" s="22">
        <f>F328+H328</f>
        <v>300000000</v>
      </c>
      <c r="F328" s="57">
        <f>200000000-200000000+30000000</f>
        <v>30000000</v>
      </c>
      <c r="G328" s="57"/>
      <c r="H328" s="57">
        <f>170000000+100000000</f>
        <v>270000000</v>
      </c>
      <c r="I328" s="57"/>
    </row>
    <row r="329" spans="1:9" s="6" customFormat="1" ht="39" customHeight="1" x14ac:dyDescent="0.3">
      <c r="A329" s="58"/>
      <c r="B329" s="58"/>
      <c r="C329" s="59" t="s">
        <v>242</v>
      </c>
      <c r="D329" s="59"/>
      <c r="E329" s="20"/>
      <c r="F329" s="60"/>
      <c r="G329" s="60"/>
      <c r="H329" s="60"/>
      <c r="I329" s="60"/>
    </row>
    <row r="330" spans="1:9" ht="59.25" customHeight="1" x14ac:dyDescent="0.3">
      <c r="A330" s="15" t="s">
        <v>279</v>
      </c>
      <c r="B330" s="16">
        <v>9800</v>
      </c>
      <c r="C330" s="45" t="s">
        <v>87</v>
      </c>
      <c r="D330" s="45"/>
      <c r="E330" s="24">
        <f>E331</f>
        <v>20000000</v>
      </c>
      <c r="F330" s="123" t="s">
        <v>284</v>
      </c>
      <c r="G330" s="124"/>
      <c r="H330" s="124"/>
      <c r="I330" s="125"/>
    </row>
    <row r="331" spans="1:9" s="6" customFormat="1" ht="33" customHeight="1" x14ac:dyDescent="0.3">
      <c r="A331" s="29">
        <v>9900000000</v>
      </c>
      <c r="B331" s="29"/>
      <c r="C331" s="43" t="s">
        <v>1</v>
      </c>
      <c r="D331" s="44"/>
      <c r="E331" s="23">
        <f>F331+H331</f>
        <v>20000000</v>
      </c>
      <c r="F331" s="64">
        <f>5000000+15000000</f>
        <v>20000000</v>
      </c>
      <c r="G331" s="65"/>
      <c r="H331" s="65"/>
      <c r="I331" s="66"/>
    </row>
    <row r="332" spans="1:9" s="6" customFormat="1" ht="39" customHeight="1" x14ac:dyDescent="0.3">
      <c r="A332" s="58"/>
      <c r="B332" s="58"/>
      <c r="C332" s="59" t="s">
        <v>242</v>
      </c>
      <c r="D332" s="59"/>
      <c r="E332" s="20"/>
      <c r="F332" s="60"/>
      <c r="G332" s="60"/>
      <c r="H332" s="60"/>
      <c r="I332" s="60"/>
    </row>
    <row r="333" spans="1:9" ht="59.25" customHeight="1" x14ac:dyDescent="0.3">
      <c r="A333" s="15" t="s">
        <v>279</v>
      </c>
      <c r="B333" s="16">
        <v>9800</v>
      </c>
      <c r="C333" s="45" t="s">
        <v>87</v>
      </c>
      <c r="D333" s="45"/>
      <c r="E333" s="24">
        <f>E334</f>
        <v>60000</v>
      </c>
      <c r="F333" s="123" t="s">
        <v>287</v>
      </c>
      <c r="G333" s="124"/>
      <c r="H333" s="124"/>
      <c r="I333" s="125"/>
    </row>
    <row r="334" spans="1:9" s="6" customFormat="1" ht="33" customHeight="1" x14ac:dyDescent="0.3">
      <c r="A334" s="29">
        <v>9900000000</v>
      </c>
      <c r="B334" s="29"/>
      <c r="C334" s="43" t="s">
        <v>1</v>
      </c>
      <c r="D334" s="44"/>
      <c r="E334" s="23">
        <f>F334+H334</f>
        <v>60000</v>
      </c>
      <c r="F334" s="64">
        <f>60000</f>
        <v>60000</v>
      </c>
      <c r="G334" s="65"/>
      <c r="H334" s="65"/>
      <c r="I334" s="66"/>
    </row>
    <row r="335" spans="1:9" s="6" customFormat="1" ht="38.25" customHeight="1" x14ac:dyDescent="0.3">
      <c r="A335" s="58"/>
      <c r="B335" s="58"/>
      <c r="C335" s="59" t="s">
        <v>129</v>
      </c>
      <c r="D335" s="59"/>
      <c r="E335" s="20"/>
      <c r="F335" s="119"/>
      <c r="G335" s="120"/>
      <c r="H335" s="120"/>
      <c r="I335" s="121"/>
    </row>
    <row r="336" spans="1:9" ht="59.25" customHeight="1" x14ac:dyDescent="0.3">
      <c r="A336" s="15" t="s">
        <v>89</v>
      </c>
      <c r="B336" s="16">
        <v>9800</v>
      </c>
      <c r="C336" s="45" t="s">
        <v>87</v>
      </c>
      <c r="D336" s="45"/>
      <c r="E336" s="24">
        <f>E337</f>
        <v>89000000</v>
      </c>
      <c r="F336" s="126" t="s">
        <v>226</v>
      </c>
      <c r="G336" s="126"/>
      <c r="H336" s="126"/>
      <c r="I336" s="126"/>
    </row>
    <row r="337" spans="1:11" s="6" customFormat="1" ht="33" customHeight="1" x14ac:dyDescent="0.3">
      <c r="A337" s="29">
        <v>9900000000</v>
      </c>
      <c r="B337" s="29"/>
      <c r="C337" s="43" t="s">
        <v>1</v>
      </c>
      <c r="D337" s="44"/>
      <c r="E337" s="23">
        <f>F337</f>
        <v>89000000</v>
      </c>
      <c r="F337" s="91">
        <f>247000000-50000000-48000000-60000000</f>
        <v>89000000</v>
      </c>
      <c r="G337" s="92"/>
      <c r="H337" s="92"/>
      <c r="I337" s="93"/>
    </row>
    <row r="338" spans="1:11" s="6" customFormat="1" ht="38.25" customHeight="1" x14ac:dyDescent="0.3">
      <c r="A338" s="58"/>
      <c r="B338" s="58"/>
      <c r="C338" s="59" t="s">
        <v>129</v>
      </c>
      <c r="D338" s="59"/>
      <c r="E338" s="20"/>
      <c r="F338" s="86"/>
      <c r="G338" s="86"/>
      <c r="H338" s="86"/>
      <c r="I338" s="86"/>
    </row>
    <row r="339" spans="1:11" ht="64.5" customHeight="1" x14ac:dyDescent="0.3">
      <c r="A339" s="15" t="s">
        <v>89</v>
      </c>
      <c r="B339" s="16">
        <v>9800</v>
      </c>
      <c r="C339" s="46" t="s">
        <v>87</v>
      </c>
      <c r="D339" s="47"/>
      <c r="E339" s="24">
        <f>E340</f>
        <v>944792100</v>
      </c>
      <c r="F339" s="123" t="s">
        <v>264</v>
      </c>
      <c r="G339" s="124"/>
      <c r="H339" s="124"/>
      <c r="I339" s="125"/>
    </row>
    <row r="340" spans="1:11" s="6" customFormat="1" ht="33" customHeight="1" x14ac:dyDescent="0.3">
      <c r="A340" s="29">
        <v>9900000000</v>
      </c>
      <c r="B340" s="29"/>
      <c r="C340" s="43" t="s">
        <v>1</v>
      </c>
      <c r="D340" s="44"/>
      <c r="E340" s="23">
        <f>F340</f>
        <v>944792100</v>
      </c>
      <c r="F340" s="91">
        <f>350000000+1000000+45000000-95000+6646500+31459200+15531800+17828500+100000000+26219700+1250000+997500+12000000+591600+150000000+184988400+1373900</f>
        <v>944792100</v>
      </c>
      <c r="G340" s="92"/>
      <c r="H340" s="92"/>
      <c r="I340" s="93"/>
    </row>
    <row r="341" spans="1:11" s="6" customFormat="1" ht="39" customHeight="1" x14ac:dyDescent="0.3">
      <c r="A341" s="58"/>
      <c r="B341" s="58"/>
      <c r="C341" s="59" t="s">
        <v>130</v>
      </c>
      <c r="D341" s="59"/>
      <c r="E341" s="20"/>
      <c r="F341" s="86"/>
      <c r="G341" s="86"/>
      <c r="H341" s="86"/>
      <c r="I341" s="86"/>
    </row>
    <row r="342" spans="1:11" ht="61.5" customHeight="1" x14ac:dyDescent="0.3">
      <c r="A342" s="15" t="s">
        <v>88</v>
      </c>
      <c r="B342" s="16">
        <v>9800</v>
      </c>
      <c r="C342" s="45" t="s">
        <v>87</v>
      </c>
      <c r="D342" s="45"/>
      <c r="E342" s="24">
        <f>E343</f>
        <v>3000000</v>
      </c>
      <c r="F342" s="126" t="s">
        <v>226</v>
      </c>
      <c r="G342" s="126"/>
      <c r="H342" s="126"/>
      <c r="I342" s="126"/>
    </row>
    <row r="343" spans="1:11" s="6" customFormat="1" ht="33" customHeight="1" x14ac:dyDescent="0.3">
      <c r="A343" s="29">
        <v>9900000000</v>
      </c>
      <c r="B343" s="29"/>
      <c r="C343" s="43" t="s">
        <v>1</v>
      </c>
      <c r="D343" s="44"/>
      <c r="E343" s="23">
        <f>F343</f>
        <v>3000000</v>
      </c>
      <c r="F343" s="91">
        <f>3000000</f>
        <v>3000000</v>
      </c>
      <c r="G343" s="92"/>
      <c r="H343" s="92"/>
      <c r="I343" s="93"/>
    </row>
    <row r="344" spans="1:11" s="6" customFormat="1" ht="39" customHeight="1" x14ac:dyDescent="0.3">
      <c r="A344" s="58"/>
      <c r="B344" s="58"/>
      <c r="C344" s="59" t="s">
        <v>130</v>
      </c>
      <c r="D344" s="59"/>
      <c r="E344" s="20"/>
      <c r="F344" s="86"/>
      <c r="G344" s="86"/>
      <c r="H344" s="86"/>
      <c r="I344" s="86"/>
    </row>
    <row r="345" spans="1:11" ht="79.5" customHeight="1" x14ac:dyDescent="0.3">
      <c r="A345" s="15" t="s">
        <v>88</v>
      </c>
      <c r="B345" s="16">
        <v>9800</v>
      </c>
      <c r="C345" s="45" t="s">
        <v>87</v>
      </c>
      <c r="D345" s="45"/>
      <c r="E345" s="24">
        <f>E346</f>
        <v>21024000</v>
      </c>
      <c r="F345" s="126" t="s">
        <v>227</v>
      </c>
      <c r="G345" s="126"/>
      <c r="H345" s="126"/>
      <c r="I345" s="126"/>
    </row>
    <row r="346" spans="1:11" s="6" customFormat="1" ht="33" customHeight="1" x14ac:dyDescent="0.3">
      <c r="A346" s="29">
        <v>9900000000</v>
      </c>
      <c r="B346" s="29"/>
      <c r="C346" s="43" t="s">
        <v>1</v>
      </c>
      <c r="D346" s="44"/>
      <c r="E346" s="23">
        <f>F346</f>
        <v>21024000</v>
      </c>
      <c r="F346" s="91">
        <f>14584000+6440000</f>
        <v>21024000</v>
      </c>
      <c r="G346" s="92"/>
      <c r="H346" s="92"/>
      <c r="I346" s="93"/>
    </row>
    <row r="347" spans="1:11" s="4" customFormat="1" ht="40.5" customHeight="1" x14ac:dyDescent="0.3">
      <c r="A347" s="72"/>
      <c r="B347" s="73"/>
      <c r="C347" s="70" t="s">
        <v>123</v>
      </c>
      <c r="D347" s="71"/>
      <c r="E347" s="20"/>
      <c r="F347" s="119"/>
      <c r="G347" s="120"/>
      <c r="H347" s="120"/>
      <c r="I347" s="121"/>
    </row>
    <row r="348" spans="1:11" ht="69.75" customHeight="1" x14ac:dyDescent="0.3">
      <c r="A348" s="15" t="s">
        <v>90</v>
      </c>
      <c r="B348" s="16">
        <v>9800</v>
      </c>
      <c r="C348" s="46" t="s">
        <v>87</v>
      </c>
      <c r="D348" s="47"/>
      <c r="E348" s="24">
        <f>E349</f>
        <v>100000000</v>
      </c>
      <c r="F348" s="123" t="s">
        <v>228</v>
      </c>
      <c r="G348" s="124"/>
      <c r="H348" s="124"/>
      <c r="I348" s="125"/>
    </row>
    <row r="349" spans="1:11" s="6" customFormat="1" ht="33" customHeight="1" x14ac:dyDescent="0.3">
      <c r="A349" s="29">
        <v>9900000000</v>
      </c>
      <c r="B349" s="29"/>
      <c r="C349" s="43" t="s">
        <v>1</v>
      </c>
      <c r="D349" s="44"/>
      <c r="E349" s="23">
        <f>F349</f>
        <v>100000000</v>
      </c>
      <c r="F349" s="91">
        <f>100000000</f>
        <v>100000000</v>
      </c>
      <c r="G349" s="92"/>
      <c r="H349" s="92"/>
      <c r="I349" s="93"/>
    </row>
    <row r="350" spans="1:11" s="7" customFormat="1" ht="26.25" customHeight="1" x14ac:dyDescent="0.3">
      <c r="A350" s="16" t="s">
        <v>85</v>
      </c>
      <c r="B350" s="16" t="s">
        <v>85</v>
      </c>
      <c r="C350" s="45" t="s">
        <v>97</v>
      </c>
      <c r="D350" s="45"/>
      <c r="E350" s="24">
        <f>E351</f>
        <v>3103033140</v>
      </c>
      <c r="F350" s="122"/>
      <c r="G350" s="122"/>
      <c r="H350" s="122"/>
      <c r="I350" s="122"/>
      <c r="J350" s="8"/>
      <c r="K350" s="17"/>
    </row>
    <row r="351" spans="1:11" s="7" customFormat="1" ht="26.25" customHeight="1" x14ac:dyDescent="0.3">
      <c r="A351" s="16" t="s">
        <v>85</v>
      </c>
      <c r="B351" s="16" t="s">
        <v>85</v>
      </c>
      <c r="C351" s="45" t="s">
        <v>69</v>
      </c>
      <c r="D351" s="45"/>
      <c r="E351" s="24">
        <f>E13+E16+E22+E147+E240+E317+E320+E336+E339+E342+E345+E348+E231+E326+E109+E34+E330+E333</f>
        <v>3103033140</v>
      </c>
      <c r="F351" s="122"/>
      <c r="G351" s="122"/>
      <c r="H351" s="122"/>
      <c r="I351" s="122"/>
      <c r="J351" s="8"/>
      <c r="K351" s="17"/>
    </row>
    <row r="352" spans="1:11" ht="48.75" customHeight="1" x14ac:dyDescent="0.3"/>
    <row r="353" spans="1:9" s="9" customFormat="1" ht="51.75" customHeight="1" x14ac:dyDescent="0.4">
      <c r="A353" s="101" t="s">
        <v>121</v>
      </c>
      <c r="B353" s="101"/>
      <c r="C353" s="101"/>
      <c r="D353" s="102"/>
      <c r="E353" s="102"/>
      <c r="F353" s="103" t="s">
        <v>288</v>
      </c>
      <c r="G353" s="103"/>
      <c r="H353" s="103"/>
      <c r="I353" s="103"/>
    </row>
    <row r="355" spans="1:9" x14ac:dyDescent="0.3">
      <c r="B355" s="1"/>
      <c r="E355" s="10"/>
      <c r="F355" s="10"/>
      <c r="G355" s="10"/>
      <c r="H355" s="10"/>
      <c r="I355" s="10"/>
    </row>
  </sheetData>
  <sheetProtection selectLockedCells="1" selectUnlockedCells="1"/>
  <customSheetViews>
    <customSheetView guid="{C9A6F9B2-0582-46B8-BF5A-2A8D2AC01FE2}" scale="60" showPageBreaks="1" zeroValues="0" printArea="1" view="pageBreakPreview" topLeftCell="A106">
      <selection activeCell="E184" sqref="E184"/>
      <rowBreaks count="6" manualBreakCount="6">
        <brk id="77" max="8" man="1"/>
        <brk id="110" max="8" man="1"/>
        <brk id="136" max="8" man="1"/>
        <brk id="501" max="8" man="1"/>
        <brk id="516" max="8" man="1"/>
        <brk id="543" max="8" man="1"/>
      </rowBreaks>
      <pageMargins left="0.98425196850393704" right="0.59055118110236227" top="0.59055118110236227" bottom="0.59055118110236227" header="0.39370078740157483" footer="0.39370078740157483"/>
      <pageSetup paperSize="9" scale="40" firstPageNumber="7" fitToHeight="500" orientation="landscape" useFirstPageNumber="1" horizontalDpi="300" verticalDpi="300" r:id="rId1"/>
      <headerFooter differentFirst="1" alignWithMargins="0">
        <oddHeader>&amp;C&amp;P</oddHeader>
        <firstHeader>&amp;C&amp;P</firstHeader>
      </headerFooter>
    </customSheetView>
    <customSheetView guid="{879B1E14-7CA4-4463-9C42-4E2586107585}" scale="60" showPageBreaks="1" zeroValues="0" printArea="1" view="pageBreakPreview" topLeftCell="A175">
      <selection activeCell="E184" sqref="E184"/>
      <rowBreaks count="6" manualBreakCount="6">
        <brk id="77" max="8" man="1"/>
        <brk id="110" max="8" man="1"/>
        <brk id="136" max="8" man="1"/>
        <brk id="501" max="8" man="1"/>
        <brk id="516" max="8" man="1"/>
        <brk id="543" max="8" man="1"/>
      </rowBreaks>
      <pageMargins left="0.98425196850393704" right="0.59055118110236227" top="0.59055118110236227" bottom="0.59055118110236227" header="0.39370078740157483" footer="0.39370078740157483"/>
      <pageSetup paperSize="9" scale="40" firstPageNumber="7" fitToHeight="500" orientation="landscape" useFirstPageNumber="1" horizontalDpi="300" verticalDpi="300" r:id="rId2"/>
      <headerFooter differentFirst="1" alignWithMargins="0">
        <oddHeader>&amp;C&amp;P</oddHeader>
        <firstHeader>&amp;C&amp;P</firstHeader>
      </headerFooter>
    </customSheetView>
    <customSheetView guid="{4644111A-82C5-489B-9E53-EB80700E535E}" scale="60" showPageBreaks="1" zeroValues="0" printArea="1" view="pageBreakPreview" topLeftCell="A169">
      <selection activeCell="C174" sqref="C174:D174"/>
      <rowBreaks count="6" manualBreakCount="6">
        <brk id="77" max="8" man="1"/>
        <brk id="110" max="8" man="1"/>
        <brk id="136" max="8" man="1"/>
        <brk id="501" max="8" man="1"/>
        <brk id="516" max="8" man="1"/>
        <brk id="543" max="8" man="1"/>
      </rowBreaks>
      <pageMargins left="0.98425196850393704" right="0.59055118110236227" top="0.59055118110236227" bottom="0.59055118110236227" header="0.39370078740157483" footer="0.39370078740157483"/>
      <pageSetup paperSize="9" scale="40" firstPageNumber="7" fitToHeight="500" orientation="landscape" useFirstPageNumber="1" horizontalDpi="300" verticalDpi="300" r:id="rId3"/>
      <headerFooter differentFirst="1" alignWithMargins="0">
        <oddHeader>&amp;C&amp;P</oddHeader>
        <firstHeader>&amp;C&amp;P</firstHeader>
      </headerFooter>
    </customSheetView>
  </customSheetViews>
  <mergeCells count="915">
    <mergeCell ref="C24:D24"/>
    <mergeCell ref="F24:I24"/>
    <mergeCell ref="C25:D25"/>
    <mergeCell ref="F25:I25"/>
    <mergeCell ref="C26:D26"/>
    <mergeCell ref="F26:I26"/>
    <mergeCell ref="C27:D27"/>
    <mergeCell ref="F27:I27"/>
    <mergeCell ref="C28:D28"/>
    <mergeCell ref="F28:I28"/>
    <mergeCell ref="C171:D171"/>
    <mergeCell ref="C143:D143"/>
    <mergeCell ref="C144:D144"/>
    <mergeCell ref="C170:D170"/>
    <mergeCell ref="C172:D172"/>
    <mergeCell ref="C173:D173"/>
    <mergeCell ref="C138:D138"/>
    <mergeCell ref="F131:G131"/>
    <mergeCell ref="H131:I131"/>
    <mergeCell ref="H138:I138"/>
    <mergeCell ref="C160:D160"/>
    <mergeCell ref="C169:D169"/>
    <mergeCell ref="H147:I147"/>
    <mergeCell ref="F149:G149"/>
    <mergeCell ref="H149:I149"/>
    <mergeCell ref="F170:G170"/>
    <mergeCell ref="H170:I170"/>
    <mergeCell ref="F171:G171"/>
    <mergeCell ref="H171:I171"/>
    <mergeCell ref="F172:G172"/>
    <mergeCell ref="H172:I172"/>
    <mergeCell ref="F163:G163"/>
    <mergeCell ref="H163:I163"/>
    <mergeCell ref="F164:G164"/>
    <mergeCell ref="C158:D158"/>
    <mergeCell ref="C159:D159"/>
    <mergeCell ref="C112:D112"/>
    <mergeCell ref="C113:D113"/>
    <mergeCell ref="C114:D114"/>
    <mergeCell ref="C115:D115"/>
    <mergeCell ref="F119:G119"/>
    <mergeCell ref="H119:I119"/>
    <mergeCell ref="F120:G120"/>
    <mergeCell ref="H120:I120"/>
    <mergeCell ref="C129:D129"/>
    <mergeCell ref="F129:G129"/>
    <mergeCell ref="H129:I129"/>
    <mergeCell ref="F115:G115"/>
    <mergeCell ref="H115:I115"/>
    <mergeCell ref="F116:G116"/>
    <mergeCell ref="H116:I116"/>
    <mergeCell ref="F117:G117"/>
    <mergeCell ref="H117:I117"/>
    <mergeCell ref="F118:G118"/>
    <mergeCell ref="F127:G127"/>
    <mergeCell ref="H127:I127"/>
    <mergeCell ref="C151:D151"/>
    <mergeCell ref="C119:D119"/>
    <mergeCell ref="F240:I240"/>
    <mergeCell ref="C240:D240"/>
    <mergeCell ref="A108:B108"/>
    <mergeCell ref="C108:D108"/>
    <mergeCell ref="F108:I108"/>
    <mergeCell ref="C111:D111"/>
    <mergeCell ref="C167:D167"/>
    <mergeCell ref="C161:D161"/>
    <mergeCell ref="C162:D162"/>
    <mergeCell ref="C163:D163"/>
    <mergeCell ref="C164:D164"/>
    <mergeCell ref="C165:D165"/>
    <mergeCell ref="C166:D166"/>
    <mergeCell ref="A146:B146"/>
    <mergeCell ref="C146:D146"/>
    <mergeCell ref="C150:D150"/>
    <mergeCell ref="F109:G109"/>
    <mergeCell ref="H109:I109"/>
    <mergeCell ref="C152:D152"/>
    <mergeCell ref="C153:D153"/>
    <mergeCell ref="C154:D154"/>
    <mergeCell ref="C155:D155"/>
    <mergeCell ref="C156:D156"/>
    <mergeCell ref="C157:D157"/>
    <mergeCell ref="F231:I231"/>
    <mergeCell ref="C232:D232"/>
    <mergeCell ref="F232:I232"/>
    <mergeCell ref="C234:D234"/>
    <mergeCell ref="A239:B239"/>
    <mergeCell ref="C230:D230"/>
    <mergeCell ref="C233:D233"/>
    <mergeCell ref="F234:I234"/>
    <mergeCell ref="F239:I239"/>
    <mergeCell ref="C239:D239"/>
    <mergeCell ref="A316:B316"/>
    <mergeCell ref="C314:D314"/>
    <mergeCell ref="C295:D295"/>
    <mergeCell ref="C299:D299"/>
    <mergeCell ref="C311:D311"/>
    <mergeCell ref="A335:B335"/>
    <mergeCell ref="A344:B344"/>
    <mergeCell ref="A341:B341"/>
    <mergeCell ref="A325:B325"/>
    <mergeCell ref="A338:B338"/>
    <mergeCell ref="C337:D337"/>
    <mergeCell ref="C326:D326"/>
    <mergeCell ref="C300:D300"/>
    <mergeCell ref="C313:D313"/>
    <mergeCell ref="A319:B319"/>
    <mergeCell ref="C319:D319"/>
    <mergeCell ref="C297:D297"/>
    <mergeCell ref="C304:D304"/>
    <mergeCell ref="C298:D298"/>
    <mergeCell ref="C317:D317"/>
    <mergeCell ref="A329:B329"/>
    <mergeCell ref="C310:D310"/>
    <mergeCell ref="C320:D320"/>
    <mergeCell ref="C281:D281"/>
    <mergeCell ref="F268:I268"/>
    <mergeCell ref="C259:D259"/>
    <mergeCell ref="F273:I273"/>
    <mergeCell ref="F274:I274"/>
    <mergeCell ref="F258:I258"/>
    <mergeCell ref="C266:D266"/>
    <mergeCell ref="C271:D271"/>
    <mergeCell ref="F271:I271"/>
    <mergeCell ref="C265:D265"/>
    <mergeCell ref="C261:D261"/>
    <mergeCell ref="C262:D262"/>
    <mergeCell ref="C269:D269"/>
    <mergeCell ref="F277:I277"/>
    <mergeCell ref="C274:D274"/>
    <mergeCell ref="F260:I260"/>
    <mergeCell ref="C258:D258"/>
    <mergeCell ref="F269:I269"/>
    <mergeCell ref="F259:I259"/>
    <mergeCell ref="C270:D270"/>
    <mergeCell ref="F265:I265"/>
    <mergeCell ref="F311:I311"/>
    <mergeCell ref="C309:D309"/>
    <mergeCell ref="C301:D301"/>
    <mergeCell ref="F310:I310"/>
    <mergeCell ref="F309:I309"/>
    <mergeCell ref="C308:D308"/>
    <mergeCell ref="C306:D306"/>
    <mergeCell ref="F249:I249"/>
    <mergeCell ref="F247:I247"/>
    <mergeCell ref="C285:D285"/>
    <mergeCell ref="F294:I294"/>
    <mergeCell ref="C294:D294"/>
    <mergeCell ref="C296:D296"/>
    <mergeCell ref="F303:I303"/>
    <mergeCell ref="F302:I302"/>
    <mergeCell ref="F306:I306"/>
    <mergeCell ref="C291:D291"/>
    <mergeCell ref="F295:I295"/>
    <mergeCell ref="C293:D293"/>
    <mergeCell ref="C263:D263"/>
    <mergeCell ref="F261:I261"/>
    <mergeCell ref="C278:D278"/>
    <mergeCell ref="C264:D264"/>
    <mergeCell ref="F266:I266"/>
    <mergeCell ref="F345:I345"/>
    <mergeCell ref="F326:G326"/>
    <mergeCell ref="F328:G328"/>
    <mergeCell ref="H326:I326"/>
    <mergeCell ref="H328:I328"/>
    <mergeCell ref="F320:I320"/>
    <mergeCell ref="C327:D327"/>
    <mergeCell ref="F278:I278"/>
    <mergeCell ref="C290:D290"/>
    <mergeCell ref="F300:I300"/>
    <mergeCell ref="C303:D303"/>
    <mergeCell ref="F291:I291"/>
    <mergeCell ref="F301:I301"/>
    <mergeCell ref="F305:I305"/>
    <mergeCell ref="C302:D302"/>
    <mergeCell ref="F299:I299"/>
    <mergeCell ref="C305:D305"/>
    <mergeCell ref="F289:I289"/>
    <mergeCell ref="F292:I292"/>
    <mergeCell ref="F287:I287"/>
    <mergeCell ref="C289:D289"/>
    <mergeCell ref="F285:I285"/>
    <mergeCell ref="F284:I284"/>
    <mergeCell ref="F312:I312"/>
    <mergeCell ref="F318:I318"/>
    <mergeCell ref="C323:D323"/>
    <mergeCell ref="F323:I323"/>
    <mergeCell ref="F324:I324"/>
    <mergeCell ref="F342:I342"/>
    <mergeCell ref="F343:I343"/>
    <mergeCell ref="C325:D325"/>
    <mergeCell ref="F325:I325"/>
    <mergeCell ref="F319:I319"/>
    <mergeCell ref="F339:I339"/>
    <mergeCell ref="C324:D324"/>
    <mergeCell ref="C336:D336"/>
    <mergeCell ref="F327:G327"/>
    <mergeCell ref="H327:I327"/>
    <mergeCell ref="C329:D329"/>
    <mergeCell ref="F329:I329"/>
    <mergeCell ref="C330:D330"/>
    <mergeCell ref="F330:I330"/>
    <mergeCell ref="C331:D331"/>
    <mergeCell ref="F331:I331"/>
    <mergeCell ref="C333:D333"/>
    <mergeCell ref="F333:I333"/>
    <mergeCell ref="C334:D334"/>
    <mergeCell ref="F334:I334"/>
    <mergeCell ref="F316:I316"/>
    <mergeCell ref="F307:I307"/>
    <mergeCell ref="F335:I335"/>
    <mergeCell ref="C344:D344"/>
    <mergeCell ref="F351:I351"/>
    <mergeCell ref="C328:D328"/>
    <mergeCell ref="C350:D350"/>
    <mergeCell ref="C348:D348"/>
    <mergeCell ref="F349:I349"/>
    <mergeCell ref="C351:D351"/>
    <mergeCell ref="F350:I350"/>
    <mergeCell ref="F347:I347"/>
    <mergeCell ref="F348:I348"/>
    <mergeCell ref="F340:I340"/>
    <mergeCell ref="F346:I346"/>
    <mergeCell ref="C345:D345"/>
    <mergeCell ref="C338:D338"/>
    <mergeCell ref="F338:I338"/>
    <mergeCell ref="F336:I336"/>
    <mergeCell ref="C341:D341"/>
    <mergeCell ref="C343:D343"/>
    <mergeCell ref="C349:D349"/>
    <mergeCell ref="C335:D335"/>
    <mergeCell ref="C318:D318"/>
    <mergeCell ref="A353:C353"/>
    <mergeCell ref="D353:E353"/>
    <mergeCell ref="F353:I353"/>
    <mergeCell ref="C342:D342"/>
    <mergeCell ref="F341:I341"/>
    <mergeCell ref="C340:D340"/>
    <mergeCell ref="C339:D339"/>
    <mergeCell ref="C346:D346"/>
    <mergeCell ref="F1:I1"/>
    <mergeCell ref="C12:D12"/>
    <mergeCell ref="F12:I12"/>
    <mergeCell ref="F2:I2"/>
    <mergeCell ref="C10:D10"/>
    <mergeCell ref="A3:I3"/>
    <mergeCell ref="E5:E9"/>
    <mergeCell ref="C5:D9"/>
    <mergeCell ref="A5:A9"/>
    <mergeCell ref="B5:B9"/>
    <mergeCell ref="A11:I11"/>
    <mergeCell ref="F5:I9"/>
    <mergeCell ref="F10:I10"/>
    <mergeCell ref="F13:I13"/>
    <mergeCell ref="C312:D312"/>
    <mergeCell ref="A21:B21"/>
    <mergeCell ref="C168:D168"/>
    <mergeCell ref="F251:I251"/>
    <mergeCell ref="C247:D247"/>
    <mergeCell ref="F15:I15"/>
    <mergeCell ref="A12:B12"/>
    <mergeCell ref="C13:D13"/>
    <mergeCell ref="C14:D14"/>
    <mergeCell ref="F14:I14"/>
    <mergeCell ref="C15:D15"/>
    <mergeCell ref="A15:B15"/>
    <mergeCell ref="C19:D19"/>
    <mergeCell ref="F19:I19"/>
    <mergeCell ref="C18:D18"/>
    <mergeCell ref="F18:I18"/>
    <mergeCell ref="A230:B230"/>
    <mergeCell ref="F230:I230"/>
    <mergeCell ref="C237:D237"/>
    <mergeCell ref="F241:I241"/>
    <mergeCell ref="C238:D238"/>
    <mergeCell ref="F237:I237"/>
    <mergeCell ref="F233:I233"/>
    <mergeCell ref="F236:I236"/>
    <mergeCell ref="F235:I235"/>
    <mergeCell ref="F22:I22"/>
    <mergeCell ref="F23:I23"/>
    <mergeCell ref="C23:D23"/>
    <mergeCell ref="C22:D22"/>
    <mergeCell ref="F17:I17"/>
    <mergeCell ref="F16:I16"/>
    <mergeCell ref="C16:D16"/>
    <mergeCell ref="C17:D17"/>
    <mergeCell ref="C21:D21"/>
    <mergeCell ref="F21:I21"/>
    <mergeCell ref="C20:D20"/>
    <mergeCell ref="F20:I20"/>
    <mergeCell ref="C29:D29"/>
    <mergeCell ref="F29:I29"/>
    <mergeCell ref="C30:D30"/>
    <mergeCell ref="F30:I30"/>
    <mergeCell ref="C31:D31"/>
    <mergeCell ref="F31:I31"/>
    <mergeCell ref="C32:D32"/>
    <mergeCell ref="F32:I32"/>
    <mergeCell ref="C36:D36"/>
    <mergeCell ref="C246:D246"/>
    <mergeCell ref="F256:I256"/>
    <mergeCell ref="F252:I252"/>
    <mergeCell ref="F146:I146"/>
    <mergeCell ref="C149:D149"/>
    <mergeCell ref="C242:D242"/>
    <mergeCell ref="C231:D231"/>
    <mergeCell ref="C254:D254"/>
    <mergeCell ref="C236:D236"/>
    <mergeCell ref="F238:I238"/>
    <mergeCell ref="F243:I243"/>
    <mergeCell ref="F250:I250"/>
    <mergeCell ref="C248:D248"/>
    <mergeCell ref="F242:I242"/>
    <mergeCell ref="F244:I244"/>
    <mergeCell ref="C250:D250"/>
    <mergeCell ref="C244:D244"/>
    <mergeCell ref="C256:D256"/>
    <mergeCell ref="F254:I254"/>
    <mergeCell ref="F248:I248"/>
    <mergeCell ref="C243:D243"/>
    <mergeCell ref="F246:I246"/>
    <mergeCell ref="F253:I253"/>
    <mergeCell ref="F255:I255"/>
    <mergeCell ref="F286:I286"/>
    <mergeCell ref="C288:D288"/>
    <mergeCell ref="C284:D284"/>
    <mergeCell ref="C287:D287"/>
    <mergeCell ref="F288:I288"/>
    <mergeCell ref="F267:I267"/>
    <mergeCell ref="F262:I262"/>
    <mergeCell ref="F270:I270"/>
    <mergeCell ref="C272:D272"/>
    <mergeCell ref="F283:I283"/>
    <mergeCell ref="F263:I263"/>
    <mergeCell ref="C267:D267"/>
    <mergeCell ref="C273:D273"/>
    <mergeCell ref="C276:D276"/>
    <mergeCell ref="F272:I272"/>
    <mergeCell ref="F264:I264"/>
    <mergeCell ref="F279:I279"/>
    <mergeCell ref="C277:D277"/>
    <mergeCell ref="C280:D280"/>
    <mergeCell ref="C282:D282"/>
    <mergeCell ref="C268:D268"/>
    <mergeCell ref="F276:I276"/>
    <mergeCell ref="F281:I281"/>
    <mergeCell ref="F275:I275"/>
    <mergeCell ref="C255:D255"/>
    <mergeCell ref="C253:D253"/>
    <mergeCell ref="C251:D251"/>
    <mergeCell ref="C252:D252"/>
    <mergeCell ref="C260:D260"/>
    <mergeCell ref="C257:D257"/>
    <mergeCell ref="F257:I257"/>
    <mergeCell ref="F344:I344"/>
    <mergeCell ref="F337:I337"/>
    <mergeCell ref="F298:I298"/>
    <mergeCell ref="C275:D275"/>
    <mergeCell ref="C283:D283"/>
    <mergeCell ref="C321:D321"/>
    <mergeCell ref="F321:I321"/>
    <mergeCell ref="C322:D322"/>
    <mergeCell ref="F322:I322"/>
    <mergeCell ref="C316:D316"/>
    <mergeCell ref="F297:I297"/>
    <mergeCell ref="F296:I296"/>
    <mergeCell ref="F293:I293"/>
    <mergeCell ref="C286:D286"/>
    <mergeCell ref="C292:D292"/>
    <mergeCell ref="F280:I280"/>
    <mergeCell ref="C315:D315"/>
    <mergeCell ref="F282:I282"/>
    <mergeCell ref="C279:D279"/>
    <mergeCell ref="F308:I308"/>
    <mergeCell ref="F290:I290"/>
    <mergeCell ref="F313:I313"/>
    <mergeCell ref="F304:I304"/>
    <mergeCell ref="C199:D199"/>
    <mergeCell ref="C211:D211"/>
    <mergeCell ref="C212:D212"/>
    <mergeCell ref="C204:D204"/>
    <mergeCell ref="C203:D203"/>
    <mergeCell ref="F212:G212"/>
    <mergeCell ref="H212:I212"/>
    <mergeCell ref="H224:I224"/>
    <mergeCell ref="C220:D220"/>
    <mergeCell ref="C221:D221"/>
    <mergeCell ref="C222:D222"/>
    <mergeCell ref="C223:D223"/>
    <mergeCell ref="C224:D224"/>
    <mergeCell ref="C227:D227"/>
    <mergeCell ref="C208:D208"/>
    <mergeCell ref="C201:D201"/>
    <mergeCell ref="C215:D215"/>
    <mergeCell ref="C209:D209"/>
    <mergeCell ref="C178:D178"/>
    <mergeCell ref="C179:D179"/>
    <mergeCell ref="C180:D180"/>
    <mergeCell ref="C181:D181"/>
    <mergeCell ref="C195:D195"/>
    <mergeCell ref="C182:D182"/>
    <mergeCell ref="C184:D184"/>
    <mergeCell ref="C187:D187"/>
    <mergeCell ref="C188:D188"/>
    <mergeCell ref="C183:D183"/>
    <mergeCell ref="C185:D185"/>
    <mergeCell ref="C186:D186"/>
    <mergeCell ref="C190:D190"/>
    <mergeCell ref="C245:D245"/>
    <mergeCell ref="C213:D213"/>
    <mergeCell ref="F185:G185"/>
    <mergeCell ref="H185:I185"/>
    <mergeCell ref="F186:G186"/>
    <mergeCell ref="H186:I186"/>
    <mergeCell ref="F194:G194"/>
    <mergeCell ref="H194:I194"/>
    <mergeCell ref="F220:G220"/>
    <mergeCell ref="H220:I220"/>
    <mergeCell ref="F221:G221"/>
    <mergeCell ref="H221:I221"/>
    <mergeCell ref="F222:G222"/>
    <mergeCell ref="H222:I222"/>
    <mergeCell ref="C216:D216"/>
    <mergeCell ref="C217:D217"/>
    <mergeCell ref="C218:D218"/>
    <mergeCell ref="C205:D205"/>
    <mergeCell ref="C206:D206"/>
    <mergeCell ref="C207:D207"/>
    <mergeCell ref="F223:G223"/>
    <mergeCell ref="H223:I223"/>
    <mergeCell ref="F224:G224"/>
    <mergeCell ref="C235:D235"/>
    <mergeCell ref="H143:I143"/>
    <mergeCell ref="C136:D136"/>
    <mergeCell ref="C137:D137"/>
    <mergeCell ref="H200:I200"/>
    <mergeCell ref="F195:G195"/>
    <mergeCell ref="F144:G144"/>
    <mergeCell ref="H144:I144"/>
    <mergeCell ref="C142:D142"/>
    <mergeCell ref="F142:G142"/>
    <mergeCell ref="H142:I142"/>
    <mergeCell ref="C139:D139"/>
    <mergeCell ref="C140:D140"/>
    <mergeCell ref="F139:G139"/>
    <mergeCell ref="H139:I139"/>
    <mergeCell ref="C191:D191"/>
    <mergeCell ref="C189:D189"/>
    <mergeCell ref="C192:D192"/>
    <mergeCell ref="C193:D193"/>
    <mergeCell ref="C194:D194"/>
    <mergeCell ref="H197:I197"/>
    <mergeCell ref="C174:D174"/>
    <mergeCell ref="C175:D175"/>
    <mergeCell ref="C176:D176"/>
    <mergeCell ref="C177:D177"/>
    <mergeCell ref="C210:D210"/>
    <mergeCell ref="C196:D196"/>
    <mergeCell ref="C197:D197"/>
    <mergeCell ref="C200:D200"/>
    <mergeCell ref="C219:D219"/>
    <mergeCell ref="C214:D214"/>
    <mergeCell ref="C202:D202"/>
    <mergeCell ref="C198:D198"/>
    <mergeCell ref="F39:G39"/>
    <mergeCell ref="F40:G40"/>
    <mergeCell ref="F41:G41"/>
    <mergeCell ref="F42:G42"/>
    <mergeCell ref="F43:G43"/>
    <mergeCell ref="C44:D44"/>
    <mergeCell ref="F134:G134"/>
    <mergeCell ref="C39:D39"/>
    <mergeCell ref="C40:D40"/>
    <mergeCell ref="C41:D41"/>
    <mergeCell ref="C42:D42"/>
    <mergeCell ref="C43:D43"/>
    <mergeCell ref="F44:G44"/>
    <mergeCell ref="C64:D64"/>
    <mergeCell ref="C68:D68"/>
    <mergeCell ref="C69:D69"/>
    <mergeCell ref="H134:I134"/>
    <mergeCell ref="C132:D132"/>
    <mergeCell ref="C133:D133"/>
    <mergeCell ref="F132:G132"/>
    <mergeCell ref="H132:I132"/>
    <mergeCell ref="F133:G133"/>
    <mergeCell ref="H133:I133"/>
    <mergeCell ref="C134:D134"/>
    <mergeCell ref="H118:I118"/>
    <mergeCell ref="C123:D123"/>
    <mergeCell ref="C124:D124"/>
    <mergeCell ref="C125:D125"/>
    <mergeCell ref="F121:G121"/>
    <mergeCell ref="H121:I121"/>
    <mergeCell ref="F122:G122"/>
    <mergeCell ref="H122:I122"/>
    <mergeCell ref="F123:G123"/>
    <mergeCell ref="C126:D126"/>
    <mergeCell ref="C127:D127"/>
    <mergeCell ref="C120:D120"/>
    <mergeCell ref="C121:D121"/>
    <mergeCell ref="C122:D122"/>
    <mergeCell ref="C128:D128"/>
    <mergeCell ref="C131:D131"/>
    <mergeCell ref="A33:B33"/>
    <mergeCell ref="C33:D33"/>
    <mergeCell ref="F33:I33"/>
    <mergeCell ref="C37:D37"/>
    <mergeCell ref="C38:D38"/>
    <mergeCell ref="F37:G37"/>
    <mergeCell ref="F38:G38"/>
    <mergeCell ref="F34:G34"/>
    <mergeCell ref="H34:I34"/>
    <mergeCell ref="A34:A35"/>
    <mergeCell ref="B34:B35"/>
    <mergeCell ref="E34:E35"/>
    <mergeCell ref="C34:D35"/>
    <mergeCell ref="F35:G35"/>
    <mergeCell ref="H35:I35"/>
    <mergeCell ref="H37:I37"/>
    <mergeCell ref="H38:I38"/>
    <mergeCell ref="H56:I56"/>
    <mergeCell ref="C45:D45"/>
    <mergeCell ref="C46:D46"/>
    <mergeCell ref="C47:D47"/>
    <mergeCell ref="C53:D53"/>
    <mergeCell ref="C54:D54"/>
    <mergeCell ref="C55:D55"/>
    <mergeCell ref="C56:D56"/>
    <mergeCell ref="C48:D48"/>
    <mergeCell ref="C49:D49"/>
    <mergeCell ref="C50:D50"/>
    <mergeCell ref="C51:D51"/>
    <mergeCell ref="C52:D52"/>
    <mergeCell ref="F53:G53"/>
    <mergeCell ref="F54:G54"/>
    <mergeCell ref="F55:G55"/>
    <mergeCell ref="F56:G56"/>
    <mergeCell ref="F45:G45"/>
    <mergeCell ref="A109:A110"/>
    <mergeCell ref="B109:B110"/>
    <mergeCell ref="E109:E110"/>
    <mergeCell ref="C109:D110"/>
    <mergeCell ref="F110:G110"/>
    <mergeCell ref="H110:I110"/>
    <mergeCell ref="C145:D145"/>
    <mergeCell ref="F111:G111"/>
    <mergeCell ref="H111:I111"/>
    <mergeCell ref="F112:G112"/>
    <mergeCell ref="H112:I112"/>
    <mergeCell ref="F113:G113"/>
    <mergeCell ref="H113:I113"/>
    <mergeCell ref="F114:G114"/>
    <mergeCell ref="H114:I114"/>
    <mergeCell ref="C141:D141"/>
    <mergeCell ref="F140:G140"/>
    <mergeCell ref="H140:I140"/>
    <mergeCell ref="F141:G141"/>
    <mergeCell ref="H141:I141"/>
    <mergeCell ref="H123:I123"/>
    <mergeCell ref="F124:G124"/>
    <mergeCell ref="H124:I124"/>
    <mergeCell ref="F125:G125"/>
    <mergeCell ref="H60:I60"/>
    <mergeCell ref="H61:I61"/>
    <mergeCell ref="F145:G145"/>
    <mergeCell ref="H145:I145"/>
    <mergeCell ref="H135:I135"/>
    <mergeCell ref="H137:I137"/>
    <mergeCell ref="F138:G138"/>
    <mergeCell ref="F128:G128"/>
    <mergeCell ref="H128:I128"/>
    <mergeCell ref="H125:I125"/>
    <mergeCell ref="F136:G136"/>
    <mergeCell ref="H136:I136"/>
    <mergeCell ref="F137:G137"/>
    <mergeCell ref="F135:G135"/>
    <mergeCell ref="F126:G126"/>
    <mergeCell ref="H126:I126"/>
    <mergeCell ref="H89:I89"/>
    <mergeCell ref="H90:I90"/>
    <mergeCell ref="F94:G94"/>
    <mergeCell ref="F95:G95"/>
    <mergeCell ref="F96:G96"/>
    <mergeCell ref="F97:G97"/>
    <mergeCell ref="F98:G98"/>
    <mergeCell ref="F99:G99"/>
    <mergeCell ref="C116:D116"/>
    <mergeCell ref="C117:D117"/>
    <mergeCell ref="C118:D118"/>
    <mergeCell ref="C60:D60"/>
    <mergeCell ref="C61:D61"/>
    <mergeCell ref="C62:D62"/>
    <mergeCell ref="C63:D63"/>
    <mergeCell ref="C57:D57"/>
    <mergeCell ref="C58:D58"/>
    <mergeCell ref="C59:D59"/>
    <mergeCell ref="C76:D76"/>
    <mergeCell ref="C77:D77"/>
    <mergeCell ref="C78:D78"/>
    <mergeCell ref="C71:D71"/>
    <mergeCell ref="C72:D72"/>
    <mergeCell ref="C73:D73"/>
    <mergeCell ref="C74:D74"/>
    <mergeCell ref="C104:D104"/>
    <mergeCell ref="C99:D99"/>
    <mergeCell ref="C100:D100"/>
    <mergeCell ref="C101:D101"/>
    <mergeCell ref="C93:D93"/>
    <mergeCell ref="C85:D85"/>
    <mergeCell ref="C86:D86"/>
    <mergeCell ref="F57:G57"/>
    <mergeCell ref="F58:G58"/>
    <mergeCell ref="F59:G59"/>
    <mergeCell ref="F60:G60"/>
    <mergeCell ref="F61:G61"/>
    <mergeCell ref="F62:G62"/>
    <mergeCell ref="F63:G63"/>
    <mergeCell ref="H87:I87"/>
    <mergeCell ref="H88:I88"/>
    <mergeCell ref="F71:G71"/>
    <mergeCell ref="F72:G72"/>
    <mergeCell ref="F73:G73"/>
    <mergeCell ref="F74:G74"/>
    <mergeCell ref="F75:G75"/>
    <mergeCell ref="F76:G76"/>
    <mergeCell ref="F77:G77"/>
    <mergeCell ref="F78:G78"/>
    <mergeCell ref="F80:G80"/>
    <mergeCell ref="F81:G81"/>
    <mergeCell ref="F82:G82"/>
    <mergeCell ref="F83:G83"/>
    <mergeCell ref="F84:G84"/>
    <mergeCell ref="H58:I58"/>
    <mergeCell ref="H59:I59"/>
    <mergeCell ref="C89:D89"/>
    <mergeCell ref="F66:G66"/>
    <mergeCell ref="F67:G67"/>
    <mergeCell ref="F68:G68"/>
    <mergeCell ref="F69:G69"/>
    <mergeCell ref="F70:G70"/>
    <mergeCell ref="F79:G79"/>
    <mergeCell ref="F85:G85"/>
    <mergeCell ref="C75:D75"/>
    <mergeCell ref="C70:D70"/>
    <mergeCell ref="F100:G100"/>
    <mergeCell ref="F101:G101"/>
    <mergeCell ref="F102:G102"/>
    <mergeCell ref="F87:G87"/>
    <mergeCell ref="F88:G88"/>
    <mergeCell ref="F89:G89"/>
    <mergeCell ref="F90:G90"/>
    <mergeCell ref="F91:G91"/>
    <mergeCell ref="F92:G92"/>
    <mergeCell ref="F93:G93"/>
    <mergeCell ref="C65:D65"/>
    <mergeCell ref="C66:D66"/>
    <mergeCell ref="C67:D67"/>
    <mergeCell ref="C106:D106"/>
    <mergeCell ref="C107:D107"/>
    <mergeCell ref="C81:D81"/>
    <mergeCell ref="C92:D92"/>
    <mergeCell ref="C90:D90"/>
    <mergeCell ref="C91:D91"/>
    <mergeCell ref="C79:D79"/>
    <mergeCell ref="C80:D80"/>
    <mergeCell ref="C82:D82"/>
    <mergeCell ref="C83:D83"/>
    <mergeCell ref="C84:D84"/>
    <mergeCell ref="C105:D105"/>
    <mergeCell ref="C94:D94"/>
    <mergeCell ref="C95:D95"/>
    <mergeCell ref="C96:D96"/>
    <mergeCell ref="C97:D97"/>
    <mergeCell ref="C98:D98"/>
    <mergeCell ref="C102:D102"/>
    <mergeCell ref="C103:D103"/>
    <mergeCell ref="C87:D87"/>
    <mergeCell ref="C88:D88"/>
    <mergeCell ref="H217:I217"/>
    <mergeCell ref="F201:G201"/>
    <mergeCell ref="H201:I201"/>
    <mergeCell ref="F187:G187"/>
    <mergeCell ref="H187:I187"/>
    <mergeCell ref="F188:G188"/>
    <mergeCell ref="F158:G158"/>
    <mergeCell ref="H158:I158"/>
    <mergeCell ref="F159:G159"/>
    <mergeCell ref="H159:I159"/>
    <mergeCell ref="F160:G160"/>
    <mergeCell ref="H160:I160"/>
    <mergeCell ref="F161:G161"/>
    <mergeCell ref="H161:I161"/>
    <mergeCell ref="F162:G162"/>
    <mergeCell ref="H162:I162"/>
    <mergeCell ref="F214:G214"/>
    <mergeCell ref="F198:G198"/>
    <mergeCell ref="F213:G213"/>
    <mergeCell ref="H213:I213"/>
    <mergeCell ref="H188:I188"/>
    <mergeCell ref="F189:G189"/>
    <mergeCell ref="H189:I189"/>
    <mergeCell ref="F190:G190"/>
    <mergeCell ref="H209:I209"/>
    <mergeCell ref="F210:G210"/>
    <mergeCell ref="H210:I210"/>
    <mergeCell ref="F211:G211"/>
    <mergeCell ref="H211:I211"/>
    <mergeCell ref="F203:G203"/>
    <mergeCell ref="H203:I203"/>
    <mergeCell ref="C130:D130"/>
    <mergeCell ref="F130:G130"/>
    <mergeCell ref="H130:I130"/>
    <mergeCell ref="C135:D135"/>
    <mergeCell ref="H150:I150"/>
    <mergeCell ref="F151:G151"/>
    <mergeCell ref="H190:I190"/>
    <mergeCell ref="F191:G191"/>
    <mergeCell ref="H191:I191"/>
    <mergeCell ref="F192:G192"/>
    <mergeCell ref="H192:I192"/>
    <mergeCell ref="F193:G193"/>
    <mergeCell ref="H193:I193"/>
    <mergeCell ref="F208:G208"/>
    <mergeCell ref="H195:I195"/>
    <mergeCell ref="F174:G174"/>
    <mergeCell ref="H174:I174"/>
    <mergeCell ref="H152:I152"/>
    <mergeCell ref="H181:I181"/>
    <mergeCell ref="F182:G182"/>
    <mergeCell ref="H182:I182"/>
    <mergeCell ref="H157:I157"/>
    <mergeCell ref="H198:I198"/>
    <mergeCell ref="F199:G199"/>
    <mergeCell ref="H199:I199"/>
    <mergeCell ref="F200:G200"/>
    <mergeCell ref="F175:G175"/>
    <mergeCell ref="H175:I175"/>
    <mergeCell ref="F176:G176"/>
    <mergeCell ref="H176:I176"/>
    <mergeCell ref="F177:G177"/>
    <mergeCell ref="H177:I177"/>
    <mergeCell ref="F178:G178"/>
    <mergeCell ref="H178:I178"/>
    <mergeCell ref="H173:I173"/>
    <mergeCell ref="H184:I184"/>
    <mergeCell ref="F167:G167"/>
    <mergeCell ref="H167:I167"/>
    <mergeCell ref="F173:G173"/>
    <mergeCell ref="H183:I183"/>
    <mergeCell ref="F179:G179"/>
    <mergeCell ref="H179:I179"/>
    <mergeCell ref="H196:I196"/>
    <mergeCell ref="H164:I164"/>
    <mergeCell ref="F165:G165"/>
    <mergeCell ref="H165:I165"/>
    <mergeCell ref="F166:G166"/>
    <mergeCell ref="H166:I166"/>
    <mergeCell ref="F197:G197"/>
    <mergeCell ref="A147:A148"/>
    <mergeCell ref="B147:B148"/>
    <mergeCell ref="C147:D148"/>
    <mergeCell ref="E147:E148"/>
    <mergeCell ref="F148:G148"/>
    <mergeCell ref="H148:I148"/>
    <mergeCell ref="F168:G168"/>
    <mergeCell ref="H168:I168"/>
    <mergeCell ref="F169:G169"/>
    <mergeCell ref="H169:I169"/>
    <mergeCell ref="F153:G153"/>
    <mergeCell ref="H153:I153"/>
    <mergeCell ref="F154:G154"/>
    <mergeCell ref="H154:I154"/>
    <mergeCell ref="F155:G155"/>
    <mergeCell ref="H155:I155"/>
    <mergeCell ref="F156:G156"/>
    <mergeCell ref="H156:I156"/>
    <mergeCell ref="F157:G157"/>
    <mergeCell ref="H151:I151"/>
    <mergeCell ref="F180:G180"/>
    <mergeCell ref="H180:I180"/>
    <mergeCell ref="F184:G184"/>
    <mergeCell ref="C347:D347"/>
    <mergeCell ref="A347:B347"/>
    <mergeCell ref="F218:G218"/>
    <mergeCell ref="H218:I218"/>
    <mergeCell ref="F219:G219"/>
    <mergeCell ref="H219:I219"/>
    <mergeCell ref="F202:G202"/>
    <mergeCell ref="H202:I202"/>
    <mergeCell ref="F204:G204"/>
    <mergeCell ref="H204:I204"/>
    <mergeCell ref="F205:G205"/>
    <mergeCell ref="H205:I205"/>
    <mergeCell ref="F206:G206"/>
    <mergeCell ref="H206:I206"/>
    <mergeCell ref="F207:G207"/>
    <mergeCell ref="H207:I207"/>
    <mergeCell ref="H214:I214"/>
    <mergeCell ref="F215:G215"/>
    <mergeCell ref="H215:I215"/>
    <mergeCell ref="F216:G216"/>
    <mergeCell ref="H216:I216"/>
    <mergeCell ref="H208:I208"/>
    <mergeCell ref="F217:G217"/>
    <mergeCell ref="F46:G46"/>
    <mergeCell ref="F47:G47"/>
    <mergeCell ref="F48:G48"/>
    <mergeCell ref="F49:G49"/>
    <mergeCell ref="F50:G50"/>
    <mergeCell ref="F51:G51"/>
    <mergeCell ref="F52:G52"/>
    <mergeCell ref="F64:G64"/>
    <mergeCell ref="F65:G65"/>
    <mergeCell ref="F103:G103"/>
    <mergeCell ref="F104:G104"/>
    <mergeCell ref="F105:G105"/>
    <mergeCell ref="F106:G106"/>
    <mergeCell ref="F107:G107"/>
    <mergeCell ref="F147:G147"/>
    <mergeCell ref="F183:G183"/>
    <mergeCell ref="F152:G152"/>
    <mergeCell ref="F209:G209"/>
    <mergeCell ref="F150:G150"/>
    <mergeCell ref="F143:G143"/>
    <mergeCell ref="F86:G86"/>
    <mergeCell ref="F196:G196"/>
    <mergeCell ref="F181:G181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62:I62"/>
    <mergeCell ref="H57:I57"/>
    <mergeCell ref="H63:I63"/>
    <mergeCell ref="H64:I64"/>
    <mergeCell ref="H65:I65"/>
    <mergeCell ref="H66:I66"/>
    <mergeCell ref="H67:I67"/>
    <mergeCell ref="H68:I68"/>
    <mergeCell ref="H83:I83"/>
    <mergeCell ref="H84:I84"/>
    <mergeCell ref="H69:I69"/>
    <mergeCell ref="H70:I70"/>
    <mergeCell ref="H86:I86"/>
    <mergeCell ref="H71:I71"/>
    <mergeCell ref="H72:I72"/>
    <mergeCell ref="H73:I73"/>
    <mergeCell ref="H74:I74"/>
    <mergeCell ref="H75:I75"/>
    <mergeCell ref="H76:I76"/>
    <mergeCell ref="H77:I77"/>
    <mergeCell ref="H78:I78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F36:G36"/>
    <mergeCell ref="H36:I36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79:I79"/>
    <mergeCell ref="H80:I80"/>
    <mergeCell ref="H81:I81"/>
    <mergeCell ref="H82:I82"/>
    <mergeCell ref="H85:I85"/>
    <mergeCell ref="C225:D225"/>
    <mergeCell ref="F225:G225"/>
    <mergeCell ref="H225:I225"/>
    <mergeCell ref="C226:D226"/>
    <mergeCell ref="F226:G226"/>
    <mergeCell ref="H226:I226"/>
    <mergeCell ref="A332:B332"/>
    <mergeCell ref="C332:D332"/>
    <mergeCell ref="F332:I332"/>
    <mergeCell ref="C229:D229"/>
    <mergeCell ref="C228:D228"/>
    <mergeCell ref="F227:G227"/>
    <mergeCell ref="H227:I227"/>
    <mergeCell ref="F228:G228"/>
    <mergeCell ref="H228:I228"/>
    <mergeCell ref="F229:G229"/>
    <mergeCell ref="H229:I229"/>
    <mergeCell ref="F317:I317"/>
    <mergeCell ref="C307:D307"/>
    <mergeCell ref="F314:I314"/>
    <mergeCell ref="F315:I315"/>
    <mergeCell ref="C241:D241"/>
    <mergeCell ref="C249:D249"/>
    <mergeCell ref="F245:I245"/>
  </mergeCells>
  <pageMargins left="0.78740157480314965" right="0.39370078740157483" top="0.78740157480314965" bottom="0.78740157480314965" header="0.39370078740157483" footer="0.39370078740157483"/>
  <pageSetup paperSize="9" scale="51" firstPageNumber="9" fitToHeight="500" orientation="landscape" useFirstPageNumber="1" verticalDpi="300" r:id="rId4"/>
  <headerFooter alignWithMargins="0">
    <oddHeader>&amp;C&amp;"Times New Roman,обычный"&amp;14&amp;P</oddHeader>
    <firstHeader>&amp;C&amp;P</firstHeader>
  </headerFooter>
  <rowBreaks count="1" manualBreakCount="1">
    <brk id="33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З</vt:lpstr>
      <vt:lpstr>НА</vt:lpstr>
      <vt:lpstr>З!Заголовки_для_печати</vt:lpstr>
      <vt:lpstr>НА!Заголовки_для_печати</vt:lpstr>
      <vt:lpstr>З!Область_печати</vt:lpstr>
      <vt:lpstr>НА!Область_печати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</cp:lastModifiedBy>
  <cp:lastPrinted>2026-05-05T07:16:41Z</cp:lastPrinted>
  <dcterms:created xsi:type="dcterms:W3CDTF">2015-06-05T18:19:34Z</dcterms:created>
  <dcterms:modified xsi:type="dcterms:W3CDTF">2026-05-05T07:30:27Z</dcterms:modified>
</cp:coreProperties>
</file>